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AVILLION\Users\Derek\Dropbox\03.1 - Remedy Projects\2015 Archived Projects\15.018 FPS Rig Loading Revision\4 Submitted Reports\Rev 2.0 Spreadsheet &amp; Guidance Notes R2.0 9.6.16\"/>
    </mc:Choice>
  </mc:AlternateContent>
  <bookViews>
    <workbookView xWindow="-555" yWindow="330" windowWidth="13920" windowHeight="8715" activeTab="3"/>
  </bookViews>
  <sheets>
    <sheet name="Disclaimer" sheetId="19" r:id="rId1"/>
    <sheet name="Input Page" sheetId="6" r:id="rId2"/>
    <sheet name="Standing" sheetId="15" r:id="rId3"/>
    <sheet name="Travelling" sheetId="31" r:id="rId4"/>
    <sheet name="Handling" sheetId="30" r:id="rId5"/>
    <sheet name="Penetrating" sheetId="29" r:id="rId6"/>
    <sheet name="Extracting" sheetId="28" r:id="rId7"/>
    <sheet name="Other" sheetId="32" r:id="rId8"/>
    <sheet name="Summary" sheetId="26" r:id="rId9"/>
  </sheets>
  <definedNames>
    <definedName name="_xlnm.Print_Area" localSheetId="6">Extracting!$A$1:$U$53</definedName>
    <definedName name="_xlnm.Print_Area" localSheetId="4">Handling!$A$1:$U$53</definedName>
    <definedName name="_xlnm.Print_Area" localSheetId="1">'Input Page'!$A$1:$H$79</definedName>
    <definedName name="_xlnm.Print_Area" localSheetId="7">Other!$A$1:$U$53</definedName>
    <definedName name="_xlnm.Print_Area" localSheetId="5">Penetrating!$A$1:$U$53</definedName>
    <definedName name="_xlnm.Print_Area" localSheetId="2">Standing!$A$1:$U$53</definedName>
    <definedName name="_xlnm.Print_Area" localSheetId="8">Summary!$A$1:$H$81</definedName>
    <definedName name="_xlnm.Print_Area" localSheetId="3">Travelling!$A$1:$U$53</definedName>
  </definedNames>
  <calcPr calcId="152511"/>
</workbook>
</file>

<file path=xl/calcChain.xml><?xml version="1.0" encoding="utf-8"?>
<calcChain xmlns="http://schemas.openxmlformats.org/spreadsheetml/2006/main">
  <c r="C36" i="26" l="1"/>
  <c r="H4" i="26"/>
  <c r="G4" i="26"/>
  <c r="D31" i="6" l="1"/>
  <c r="D30" i="6"/>
  <c r="D29" i="6"/>
  <c r="H58" i="26" l="1"/>
  <c r="H57" i="26"/>
  <c r="H56" i="26"/>
  <c r="H55" i="26"/>
  <c r="H54" i="26"/>
  <c r="H53" i="26"/>
  <c r="E34" i="26"/>
  <c r="B10" i="32" l="1"/>
  <c r="B9" i="32"/>
  <c r="B10" i="28"/>
  <c r="B9" i="29"/>
  <c r="B10" i="30"/>
  <c r="B9" i="30"/>
  <c r="B10" i="31"/>
  <c r="B9" i="31"/>
  <c r="B9" i="15"/>
  <c r="G6" i="26"/>
  <c r="C6" i="26"/>
  <c r="C5" i="26"/>
  <c r="C4" i="26"/>
  <c r="C49" i="26"/>
  <c r="A49" i="26"/>
  <c r="D36" i="6"/>
  <c r="C75" i="26" l="1"/>
  <c r="C74" i="26"/>
  <c r="C73" i="26"/>
  <c r="C72" i="26"/>
  <c r="C71" i="26"/>
  <c r="B10" i="15"/>
  <c r="E58" i="26" l="1"/>
  <c r="E57" i="26"/>
  <c r="E56" i="26"/>
  <c r="E55" i="26"/>
  <c r="E54" i="26"/>
  <c r="E53" i="26"/>
  <c r="AA45" i="32"/>
  <c r="AA44" i="32"/>
  <c r="AA43" i="32"/>
  <c r="AA42" i="32"/>
  <c r="AA39" i="32"/>
  <c r="AA38" i="32"/>
  <c r="AA37" i="32"/>
  <c r="A37" i="32"/>
  <c r="AA36" i="32"/>
  <c r="AK30" i="32"/>
  <c r="AE30" i="32"/>
  <c r="I28" i="32"/>
  <c r="I27" i="32"/>
  <c r="I26" i="32"/>
  <c r="J23" i="32"/>
  <c r="H23" i="32"/>
  <c r="AB45" i="32" s="1"/>
  <c r="D23" i="32"/>
  <c r="C23" i="32"/>
  <c r="B23" i="32"/>
  <c r="E23" i="32" s="1"/>
  <c r="J22" i="32"/>
  <c r="I22" i="32" s="1"/>
  <c r="AC44" i="32" s="1"/>
  <c r="H22" i="32"/>
  <c r="AB44" i="32" s="1"/>
  <c r="D22" i="32"/>
  <c r="C22" i="32"/>
  <c r="B22" i="32"/>
  <c r="J21" i="32"/>
  <c r="AD43" i="32" s="1"/>
  <c r="H21" i="32"/>
  <c r="AB43" i="32" s="1"/>
  <c r="D21" i="32"/>
  <c r="C21" i="32"/>
  <c r="B21" i="32"/>
  <c r="J20" i="32"/>
  <c r="H20" i="32"/>
  <c r="AB42" i="32" s="1"/>
  <c r="D20" i="32"/>
  <c r="C20" i="32"/>
  <c r="B20" i="32"/>
  <c r="E20" i="32" s="1"/>
  <c r="J15" i="32"/>
  <c r="H15" i="32"/>
  <c r="AB39" i="32" s="1"/>
  <c r="D15" i="32"/>
  <c r="E15" i="32" s="1"/>
  <c r="C15" i="32"/>
  <c r="B15" i="32"/>
  <c r="J14" i="32"/>
  <c r="AD38" i="32" s="1"/>
  <c r="H14" i="32"/>
  <c r="AB38" i="32" s="1"/>
  <c r="E14" i="32"/>
  <c r="D14" i="32"/>
  <c r="C14" i="32"/>
  <c r="B14" i="32"/>
  <c r="J13" i="32"/>
  <c r="AD37" i="32" s="1"/>
  <c r="H13" i="32"/>
  <c r="AB37" i="32" s="1"/>
  <c r="D13" i="32"/>
  <c r="C13" i="32"/>
  <c r="B13" i="32"/>
  <c r="J12" i="32"/>
  <c r="H12" i="32"/>
  <c r="AB36" i="32" s="1"/>
  <c r="D12" i="32"/>
  <c r="E12" i="32" s="1"/>
  <c r="C12" i="32"/>
  <c r="B12" i="32"/>
  <c r="H11" i="32"/>
  <c r="A33" i="32" s="1"/>
  <c r="C67" i="26" s="1"/>
  <c r="D11" i="32"/>
  <c r="C11" i="32"/>
  <c r="B11" i="32"/>
  <c r="H10" i="32"/>
  <c r="A35" i="32" s="1"/>
  <c r="G67" i="26" s="1"/>
  <c r="H9" i="32"/>
  <c r="A34" i="32" s="1"/>
  <c r="E67" i="26" s="1"/>
  <c r="L7" i="32"/>
  <c r="L8" i="32" s="1"/>
  <c r="AM6" i="32"/>
  <c r="A2" i="32"/>
  <c r="A1" i="32"/>
  <c r="AA45" i="31"/>
  <c r="AA44" i="31"/>
  <c r="AA43" i="31"/>
  <c r="AA42" i="31"/>
  <c r="AA39" i="31"/>
  <c r="AA38" i="31"/>
  <c r="AA37" i="31"/>
  <c r="A37" i="31"/>
  <c r="AA36" i="31"/>
  <c r="AK30" i="31"/>
  <c r="AE30" i="31"/>
  <c r="I28" i="31"/>
  <c r="I27" i="31"/>
  <c r="C54" i="26" s="1"/>
  <c r="I26" i="31"/>
  <c r="J23" i="31"/>
  <c r="AD45" i="31" s="1"/>
  <c r="H23" i="31"/>
  <c r="AB45" i="31" s="1"/>
  <c r="D23" i="31"/>
  <c r="C23" i="31"/>
  <c r="B23" i="31"/>
  <c r="J22" i="31"/>
  <c r="AD44" i="31" s="1"/>
  <c r="H22" i="31"/>
  <c r="AB44" i="31" s="1"/>
  <c r="D22" i="31"/>
  <c r="C22" i="31"/>
  <c r="B22" i="31"/>
  <c r="J21" i="31"/>
  <c r="H21" i="31"/>
  <c r="AB43" i="31" s="1"/>
  <c r="D21" i="31"/>
  <c r="C21" i="31"/>
  <c r="B21" i="31"/>
  <c r="J20" i="31"/>
  <c r="AD42" i="31" s="1"/>
  <c r="H20" i="31"/>
  <c r="AB42" i="31" s="1"/>
  <c r="D20" i="31"/>
  <c r="C20" i="31"/>
  <c r="B20" i="31"/>
  <c r="J15" i="31"/>
  <c r="AD39" i="31" s="1"/>
  <c r="H15" i="31"/>
  <c r="AB39" i="31" s="1"/>
  <c r="D15" i="31"/>
  <c r="E15" i="31" s="1"/>
  <c r="C15" i="31"/>
  <c r="B15" i="31"/>
  <c r="F15" i="31" s="1"/>
  <c r="J14" i="31"/>
  <c r="AD38" i="31" s="1"/>
  <c r="I14" i="31"/>
  <c r="AC38" i="31" s="1"/>
  <c r="H14" i="31"/>
  <c r="AB38" i="31" s="1"/>
  <c r="D14" i="31"/>
  <c r="C14" i="31"/>
  <c r="B14" i="31"/>
  <c r="J13" i="31"/>
  <c r="AD37" i="31" s="1"/>
  <c r="H13" i="31"/>
  <c r="AB37" i="31" s="1"/>
  <c r="D13" i="31"/>
  <c r="E13" i="31" s="1"/>
  <c r="C13" i="31"/>
  <c r="B13" i="31"/>
  <c r="J12" i="31"/>
  <c r="AD36" i="31" s="1"/>
  <c r="H12" i="31"/>
  <c r="AB36" i="31" s="1"/>
  <c r="D12" i="31"/>
  <c r="C12" i="31"/>
  <c r="B12" i="31"/>
  <c r="H11" i="31"/>
  <c r="A33" i="31" s="1"/>
  <c r="C63" i="26" s="1"/>
  <c r="D11" i="31"/>
  <c r="E11" i="31" s="1"/>
  <c r="C11" i="31"/>
  <c r="B11" i="31"/>
  <c r="H10" i="31"/>
  <c r="A35" i="31" s="1"/>
  <c r="G63" i="26" s="1"/>
  <c r="H9" i="31"/>
  <c r="A34" i="31" s="1"/>
  <c r="E63" i="26" s="1"/>
  <c r="L7" i="31"/>
  <c r="AM7" i="31" s="1"/>
  <c r="AM6" i="31"/>
  <c r="A2" i="31"/>
  <c r="A1" i="31"/>
  <c r="AA45" i="30"/>
  <c r="AA44" i="30"/>
  <c r="AA43" i="30"/>
  <c r="AA42" i="30"/>
  <c r="AA39" i="30"/>
  <c r="AA38" i="30"/>
  <c r="AA37" i="30"/>
  <c r="A37" i="30"/>
  <c r="AA36" i="30"/>
  <c r="AK30" i="30"/>
  <c r="AE30" i="30"/>
  <c r="I28" i="30"/>
  <c r="I27" i="30"/>
  <c r="I26" i="30"/>
  <c r="J23" i="30"/>
  <c r="AD45" i="30" s="1"/>
  <c r="I23" i="30"/>
  <c r="AC45" i="30" s="1"/>
  <c r="H23" i="30"/>
  <c r="AB45" i="30" s="1"/>
  <c r="D23" i="30"/>
  <c r="C23" i="30"/>
  <c r="B23" i="30"/>
  <c r="F23" i="30" s="1"/>
  <c r="J22" i="30"/>
  <c r="H22" i="30"/>
  <c r="AB44" i="30" s="1"/>
  <c r="D22" i="30"/>
  <c r="C22" i="30"/>
  <c r="B22" i="30"/>
  <c r="J21" i="30"/>
  <c r="H21" i="30"/>
  <c r="AB43" i="30" s="1"/>
  <c r="D21" i="30"/>
  <c r="C21" i="30"/>
  <c r="B21" i="30"/>
  <c r="J20" i="30"/>
  <c r="AD42" i="30" s="1"/>
  <c r="H20" i="30"/>
  <c r="AB42" i="30" s="1"/>
  <c r="D20" i="30"/>
  <c r="C20" i="30"/>
  <c r="B20" i="30"/>
  <c r="J15" i="30"/>
  <c r="AD39" i="30" s="1"/>
  <c r="H15" i="30"/>
  <c r="AB39" i="30" s="1"/>
  <c r="D15" i="30"/>
  <c r="C15" i="30"/>
  <c r="F15" i="30" s="1"/>
  <c r="B15" i="30"/>
  <c r="J14" i="30"/>
  <c r="AD38" i="30" s="1"/>
  <c r="H14" i="30"/>
  <c r="AB38" i="30" s="1"/>
  <c r="D14" i="30"/>
  <c r="E14" i="30" s="1"/>
  <c r="C14" i="30"/>
  <c r="B14" i="30"/>
  <c r="J13" i="30"/>
  <c r="AD37" i="30" s="1"/>
  <c r="H13" i="30"/>
  <c r="AB37" i="30" s="1"/>
  <c r="D13" i="30"/>
  <c r="C13" i="30"/>
  <c r="B13" i="30"/>
  <c r="J12" i="30"/>
  <c r="AD36" i="30" s="1"/>
  <c r="H12" i="30"/>
  <c r="AB36" i="30" s="1"/>
  <c r="D12" i="30"/>
  <c r="C12" i="30"/>
  <c r="B12" i="30"/>
  <c r="H11" i="30"/>
  <c r="A33" i="30" s="1"/>
  <c r="C64" i="26" s="1"/>
  <c r="D11" i="30"/>
  <c r="C11" i="30"/>
  <c r="B11" i="30"/>
  <c r="H10" i="30"/>
  <c r="A35" i="30" s="1"/>
  <c r="G64" i="26" s="1"/>
  <c r="H9" i="30"/>
  <c r="A34" i="30" s="1"/>
  <c r="E64" i="26" s="1"/>
  <c r="L7" i="30"/>
  <c r="AM7" i="30" s="1"/>
  <c r="AM6" i="30"/>
  <c r="A2" i="30"/>
  <c r="A1" i="30"/>
  <c r="AA45" i="29"/>
  <c r="AA44" i="29"/>
  <c r="AA43" i="29"/>
  <c r="AA42" i="29"/>
  <c r="AA39" i="29"/>
  <c r="AA38" i="29"/>
  <c r="AA37" i="29"/>
  <c r="A37" i="29"/>
  <c r="AA36" i="29"/>
  <c r="AK30" i="29"/>
  <c r="AE30" i="29"/>
  <c r="I28" i="29"/>
  <c r="I27" i="29"/>
  <c r="I26" i="29"/>
  <c r="J23" i="29"/>
  <c r="AD45" i="29" s="1"/>
  <c r="H23" i="29"/>
  <c r="AB45" i="29" s="1"/>
  <c r="D23" i="29"/>
  <c r="C23" i="29"/>
  <c r="B23" i="29"/>
  <c r="J22" i="29"/>
  <c r="AD44" i="29" s="1"/>
  <c r="H22" i="29"/>
  <c r="AB44" i="29" s="1"/>
  <c r="D22" i="29"/>
  <c r="C22" i="29"/>
  <c r="B22" i="29"/>
  <c r="J21" i="29"/>
  <c r="H21" i="29"/>
  <c r="AB43" i="29" s="1"/>
  <c r="D21" i="29"/>
  <c r="C21" i="29"/>
  <c r="B21" i="29"/>
  <c r="J20" i="29"/>
  <c r="AD42" i="29" s="1"/>
  <c r="H20" i="29"/>
  <c r="AB42" i="29" s="1"/>
  <c r="D20" i="29"/>
  <c r="C20" i="29"/>
  <c r="B20" i="29"/>
  <c r="J15" i="29"/>
  <c r="AD39" i="29" s="1"/>
  <c r="H15" i="29"/>
  <c r="AB39" i="29" s="1"/>
  <c r="D15" i="29"/>
  <c r="C15" i="29"/>
  <c r="B15" i="29"/>
  <c r="J14" i="29"/>
  <c r="H14" i="29"/>
  <c r="AB38" i="29" s="1"/>
  <c r="E14" i="29"/>
  <c r="D14" i="29"/>
  <c r="C14" i="29"/>
  <c r="B14" i="29"/>
  <c r="J13" i="29"/>
  <c r="AD37" i="29" s="1"/>
  <c r="H13" i="29"/>
  <c r="AB37" i="29" s="1"/>
  <c r="D13" i="29"/>
  <c r="C13" i="29"/>
  <c r="B13" i="29"/>
  <c r="J12" i="29"/>
  <c r="AD36" i="29" s="1"/>
  <c r="H12" i="29"/>
  <c r="AB36" i="29" s="1"/>
  <c r="D12" i="29"/>
  <c r="E12" i="29" s="1"/>
  <c r="C12" i="29"/>
  <c r="B12" i="29"/>
  <c r="H11" i="29"/>
  <c r="A33" i="29" s="1"/>
  <c r="C65" i="26" s="1"/>
  <c r="D11" i="29"/>
  <c r="C11" i="29"/>
  <c r="B11" i="29"/>
  <c r="H10" i="29"/>
  <c r="A35" i="29" s="1"/>
  <c r="G65" i="26" s="1"/>
  <c r="H9" i="29"/>
  <c r="A34" i="29" s="1"/>
  <c r="E65" i="26" s="1"/>
  <c r="L7" i="29"/>
  <c r="L8" i="29" s="1"/>
  <c r="AM8" i="29" s="1"/>
  <c r="AM6" i="29"/>
  <c r="A2" i="29"/>
  <c r="A1" i="29"/>
  <c r="AA45" i="28"/>
  <c r="AA44" i="28"/>
  <c r="AA43" i="28"/>
  <c r="AA42" i="28"/>
  <c r="AA39" i="28"/>
  <c r="AA38" i="28"/>
  <c r="AA37" i="28"/>
  <c r="A37" i="28"/>
  <c r="AA36" i="28"/>
  <c r="AK30" i="28"/>
  <c r="AE30" i="28"/>
  <c r="I28" i="28"/>
  <c r="I27" i="28"/>
  <c r="C57" i="26" s="1"/>
  <c r="I26" i="28"/>
  <c r="J23" i="28"/>
  <c r="AD45" i="28" s="1"/>
  <c r="H23" i="28"/>
  <c r="AB45" i="28" s="1"/>
  <c r="D23" i="28"/>
  <c r="C23" i="28"/>
  <c r="B23" i="28"/>
  <c r="J22" i="28"/>
  <c r="AD44" i="28" s="1"/>
  <c r="H22" i="28"/>
  <c r="AB44" i="28" s="1"/>
  <c r="D22" i="28"/>
  <c r="C22" i="28"/>
  <c r="B22" i="28"/>
  <c r="J21" i="28"/>
  <c r="AD43" i="28" s="1"/>
  <c r="H21" i="28"/>
  <c r="AB43" i="28" s="1"/>
  <c r="D21" i="28"/>
  <c r="C21" i="28"/>
  <c r="B21" i="28"/>
  <c r="J20" i="28"/>
  <c r="H20" i="28"/>
  <c r="AB42" i="28" s="1"/>
  <c r="D20" i="28"/>
  <c r="C20" i="28"/>
  <c r="B20" i="28"/>
  <c r="J15" i="28"/>
  <c r="H15" i="28"/>
  <c r="AB39" i="28" s="1"/>
  <c r="D15" i="28"/>
  <c r="E15" i="28" s="1"/>
  <c r="C15" i="28"/>
  <c r="B15" i="28"/>
  <c r="J14" i="28"/>
  <c r="AD38" i="28" s="1"/>
  <c r="H14" i="28"/>
  <c r="AB38" i="28" s="1"/>
  <c r="D14" i="28"/>
  <c r="C14" i="28"/>
  <c r="F14" i="28" s="1"/>
  <c r="B14" i="28"/>
  <c r="J13" i="28"/>
  <c r="AD37" i="28" s="1"/>
  <c r="H13" i="28"/>
  <c r="AB37" i="28" s="1"/>
  <c r="D13" i="28"/>
  <c r="C13" i="28"/>
  <c r="B13" i="28"/>
  <c r="J12" i="28"/>
  <c r="AD36" i="28" s="1"/>
  <c r="H12" i="28"/>
  <c r="AB36" i="28" s="1"/>
  <c r="D12" i="28"/>
  <c r="C12" i="28"/>
  <c r="B12" i="28"/>
  <c r="H11" i="28"/>
  <c r="A33" i="28" s="1"/>
  <c r="C66" i="26" s="1"/>
  <c r="D11" i="28"/>
  <c r="E11" i="28" s="1"/>
  <c r="C11" i="28"/>
  <c r="B11" i="28"/>
  <c r="H10" i="28"/>
  <c r="A35" i="28" s="1"/>
  <c r="G66" i="26" s="1"/>
  <c r="H9" i="28"/>
  <c r="A34" i="28" s="1"/>
  <c r="E66" i="26" s="1"/>
  <c r="L7" i="28"/>
  <c r="AM7" i="28" s="1"/>
  <c r="AM6" i="28"/>
  <c r="A2" i="28"/>
  <c r="A1" i="28"/>
  <c r="F20" i="28" l="1"/>
  <c r="E13" i="28"/>
  <c r="I14" i="28"/>
  <c r="AC38" i="28" s="1"/>
  <c r="F21" i="28"/>
  <c r="I21" i="28"/>
  <c r="AC43" i="28" s="1"/>
  <c r="E15" i="30"/>
  <c r="F22" i="30"/>
  <c r="E13" i="29"/>
  <c r="E20" i="29"/>
  <c r="E11" i="30"/>
  <c r="E21" i="31"/>
  <c r="F20" i="29"/>
  <c r="F22" i="31"/>
  <c r="E23" i="28"/>
  <c r="F21" i="29"/>
  <c r="AE42" i="30"/>
  <c r="L8" i="31"/>
  <c r="AM8" i="31" s="1"/>
  <c r="F13" i="31"/>
  <c r="E21" i="32"/>
  <c r="AD44" i="32"/>
  <c r="F11" i="28"/>
  <c r="F12" i="28"/>
  <c r="AE44" i="28"/>
  <c r="F11" i="29"/>
  <c r="F12" i="29"/>
  <c r="E22" i="29"/>
  <c r="E23" i="31"/>
  <c r="F15" i="28"/>
  <c r="F22" i="28"/>
  <c r="I22" i="28"/>
  <c r="AC44" i="28" s="1"/>
  <c r="I20" i="29"/>
  <c r="F23" i="29"/>
  <c r="F21" i="30"/>
  <c r="F11" i="32"/>
  <c r="F12" i="32"/>
  <c r="I13" i="29"/>
  <c r="AC37" i="29" s="1"/>
  <c r="F15" i="29"/>
  <c r="I15" i="29"/>
  <c r="AC39" i="29" s="1"/>
  <c r="E21" i="29"/>
  <c r="F12" i="30"/>
  <c r="E22" i="30"/>
  <c r="AE43" i="30"/>
  <c r="E22" i="31"/>
  <c r="F13" i="32"/>
  <c r="I13" i="32"/>
  <c r="AC37" i="32" s="1"/>
  <c r="F15" i="32"/>
  <c r="F21" i="32"/>
  <c r="I21" i="32"/>
  <c r="AC43" i="32" s="1"/>
  <c r="F23" i="32"/>
  <c r="AE42" i="28"/>
  <c r="E23" i="29"/>
  <c r="E13" i="30"/>
  <c r="AE44" i="30"/>
  <c r="E14" i="31"/>
  <c r="E20" i="31"/>
  <c r="AE42" i="31"/>
  <c r="AE43" i="32"/>
  <c r="E14" i="28"/>
  <c r="E20" i="28"/>
  <c r="F14" i="29"/>
  <c r="I23" i="29"/>
  <c r="AC45" i="29" s="1"/>
  <c r="AE42" i="29"/>
  <c r="F14" i="30"/>
  <c r="E21" i="30"/>
  <c r="F12" i="31"/>
  <c r="F21" i="31"/>
  <c r="F20" i="32"/>
  <c r="AE44" i="32"/>
  <c r="C55" i="26"/>
  <c r="G58" i="26"/>
  <c r="B58" i="26"/>
  <c r="C58" i="26"/>
  <c r="F58" i="26"/>
  <c r="D58" i="26"/>
  <c r="I12" i="28"/>
  <c r="AC36" i="28" s="1"/>
  <c r="C56" i="26"/>
  <c r="I12" i="30"/>
  <c r="AC36" i="30" s="1"/>
  <c r="I12" i="31"/>
  <c r="AC36" i="31" s="1"/>
  <c r="E11" i="29"/>
  <c r="L8" i="28"/>
  <c r="L9" i="28" s="1"/>
  <c r="AM7" i="29"/>
  <c r="AM7" i="32"/>
  <c r="L9" i="32"/>
  <c r="AM8" i="32"/>
  <c r="AD36" i="32"/>
  <c r="I12" i="32"/>
  <c r="F14" i="32"/>
  <c r="E11" i="32"/>
  <c r="E13" i="32"/>
  <c r="I14" i="32"/>
  <c r="AC38" i="32" s="1"/>
  <c r="AD42" i="32"/>
  <c r="I20" i="32"/>
  <c r="AE39" i="32"/>
  <c r="AD39" i="32"/>
  <c r="I15" i="32"/>
  <c r="AC39" i="32" s="1"/>
  <c r="F22" i="32"/>
  <c r="AD45" i="32"/>
  <c r="I23" i="32"/>
  <c r="AC45" i="32" s="1"/>
  <c r="AE37" i="32"/>
  <c r="AO37" i="32"/>
  <c r="AO36" i="32"/>
  <c r="AE36" i="32"/>
  <c r="AE42" i="32"/>
  <c r="E22" i="32"/>
  <c r="AE38" i="32"/>
  <c r="AE45" i="32"/>
  <c r="AP37" i="32"/>
  <c r="AP36" i="32"/>
  <c r="L9" i="31"/>
  <c r="F11" i="31"/>
  <c r="F14" i="31"/>
  <c r="E12" i="31"/>
  <c r="I13" i="31"/>
  <c r="AC37" i="31" s="1"/>
  <c r="AE37" i="31"/>
  <c r="AD43" i="31"/>
  <c r="I21" i="31"/>
  <c r="AC43" i="31" s="1"/>
  <c r="I15" i="31"/>
  <c r="AC39" i="31" s="1"/>
  <c r="F20" i="31"/>
  <c r="AE36" i="31"/>
  <c r="AE43" i="31"/>
  <c r="I20" i="31"/>
  <c r="F23" i="31"/>
  <c r="AE44" i="31"/>
  <c r="AE39" i="31"/>
  <c r="I22" i="31"/>
  <c r="AC44" i="31" s="1"/>
  <c r="AE38" i="31"/>
  <c r="I23" i="31"/>
  <c r="AC45" i="31" s="1"/>
  <c r="AE45" i="31"/>
  <c r="AP37" i="31"/>
  <c r="AP36" i="31"/>
  <c r="AO36" i="31"/>
  <c r="AO37" i="31"/>
  <c r="L8" i="30"/>
  <c r="AE37" i="30"/>
  <c r="F11" i="30"/>
  <c r="E12" i="30"/>
  <c r="I13" i="30"/>
  <c r="AC37" i="30" s="1"/>
  <c r="F13" i="30"/>
  <c r="I14" i="30"/>
  <c r="AC38" i="30" s="1"/>
  <c r="F20" i="30"/>
  <c r="I15" i="30"/>
  <c r="AC39" i="30" s="1"/>
  <c r="I20" i="30"/>
  <c r="AE36" i="30"/>
  <c r="E20" i="30"/>
  <c r="AD43" i="30"/>
  <c r="I21" i="30"/>
  <c r="AC43" i="30" s="1"/>
  <c r="I22" i="30"/>
  <c r="AC44" i="30" s="1"/>
  <c r="AD44" i="30"/>
  <c r="AE39" i="30"/>
  <c r="E23" i="30"/>
  <c r="AE38" i="30"/>
  <c r="AP37" i="30"/>
  <c r="AP36" i="30"/>
  <c r="AE45" i="30"/>
  <c r="AO36" i="30"/>
  <c r="AO37" i="30"/>
  <c r="L9" i="29"/>
  <c r="F13" i="29"/>
  <c r="AD38" i="29"/>
  <c r="I14" i="29"/>
  <c r="AC38" i="29" s="1"/>
  <c r="I12" i="29"/>
  <c r="E15" i="29"/>
  <c r="AE37" i="29"/>
  <c r="AD43" i="29"/>
  <c r="I21" i="29"/>
  <c r="AC43" i="29" s="1"/>
  <c r="F22" i="29"/>
  <c r="AE36" i="29"/>
  <c r="AE43" i="29"/>
  <c r="AC42" i="29"/>
  <c r="AE44" i="29"/>
  <c r="AE39" i="29"/>
  <c r="I22" i="29"/>
  <c r="AC44" i="29" s="1"/>
  <c r="AE38" i="29"/>
  <c r="AE45" i="29"/>
  <c r="AP37" i="29"/>
  <c r="AP36" i="29"/>
  <c r="AO36" i="29"/>
  <c r="AO37" i="29"/>
  <c r="AD39" i="28"/>
  <c r="I15" i="28"/>
  <c r="AC39" i="28" s="1"/>
  <c r="F13" i="28"/>
  <c r="E12" i="28"/>
  <c r="I13" i="28"/>
  <c r="AC37" i="28" s="1"/>
  <c r="AE37" i="28"/>
  <c r="AD42" i="28"/>
  <c r="I20" i="28"/>
  <c r="AP37" i="28"/>
  <c r="AP36" i="28"/>
  <c r="E21" i="28"/>
  <c r="F23" i="28"/>
  <c r="AE36" i="28"/>
  <c r="AE43" i="28"/>
  <c r="E22" i="28"/>
  <c r="AE39" i="28"/>
  <c r="I23" i="28"/>
  <c r="AC45" i="28" s="1"/>
  <c r="AE38" i="28"/>
  <c r="AE45" i="28"/>
  <c r="AO36" i="28"/>
  <c r="AO37" i="28"/>
  <c r="D56" i="6"/>
  <c r="D55" i="6"/>
  <c r="D54" i="6"/>
  <c r="H54" i="6" s="1"/>
  <c r="H56" i="6"/>
  <c r="G56" i="6"/>
  <c r="H55" i="6"/>
  <c r="G55" i="6"/>
  <c r="AM8" i="28" l="1"/>
  <c r="AE40" i="30"/>
  <c r="A36" i="30" s="1"/>
  <c r="B72" i="26" s="1"/>
  <c r="AE46" i="30"/>
  <c r="AE46" i="28"/>
  <c r="I16" i="28"/>
  <c r="U32" i="28" s="1"/>
  <c r="S32" i="28" s="1"/>
  <c r="T32" i="28" s="1"/>
  <c r="I16" i="30"/>
  <c r="AE46" i="31"/>
  <c r="AE46" i="29"/>
  <c r="I16" i="31"/>
  <c r="U32" i="31" s="1"/>
  <c r="S32" i="31" s="1"/>
  <c r="T32" i="31" s="1"/>
  <c r="H57" i="6"/>
  <c r="AE46" i="32"/>
  <c r="AO38" i="32"/>
  <c r="AR38" i="32" s="1"/>
  <c r="AR37" i="32"/>
  <c r="L10" i="32"/>
  <c r="AM9" i="32"/>
  <c r="AP38" i="32"/>
  <c r="AS38" i="32" s="1"/>
  <c r="AS37" i="32"/>
  <c r="AO40" i="32"/>
  <c r="AR36" i="32"/>
  <c r="AR40" i="32" s="1"/>
  <c r="AO39" i="32"/>
  <c r="AR39" i="32" s="1"/>
  <c r="AC42" i="32"/>
  <c r="I24" i="32"/>
  <c r="AP39" i="32"/>
  <c r="AS39" i="32" s="1"/>
  <c r="AP40" i="32"/>
  <c r="AS36" i="32"/>
  <c r="AS40" i="32" s="1"/>
  <c r="AE40" i="32"/>
  <c r="A36" i="32" s="1"/>
  <c r="AC36" i="32"/>
  <c r="I16" i="32"/>
  <c r="AO38" i="31"/>
  <c r="AR38" i="31" s="1"/>
  <c r="AR37" i="31"/>
  <c r="AP38" i="31"/>
  <c r="AS38" i="31" s="1"/>
  <c r="AS37" i="31"/>
  <c r="AO40" i="31"/>
  <c r="AR36" i="31"/>
  <c r="AR40" i="31" s="1"/>
  <c r="AO39" i="31"/>
  <c r="AR39" i="31" s="1"/>
  <c r="AC42" i="31"/>
  <c r="I24" i="31"/>
  <c r="AP39" i="31"/>
  <c r="AS39" i="31" s="1"/>
  <c r="AP40" i="31"/>
  <c r="AS36" i="31"/>
  <c r="AS40" i="31" s="1"/>
  <c r="AE40" i="31"/>
  <c r="A36" i="31" s="1"/>
  <c r="L10" i="31"/>
  <c r="AM9" i="31"/>
  <c r="AP38" i="30"/>
  <c r="AS38" i="30" s="1"/>
  <c r="AS37" i="30"/>
  <c r="AO40" i="30"/>
  <c r="AR36" i="30"/>
  <c r="AR40" i="30" s="1"/>
  <c r="AO39" i="30"/>
  <c r="AR39" i="30" s="1"/>
  <c r="AC42" i="30"/>
  <c r="I24" i="30"/>
  <c r="AO38" i="30"/>
  <c r="AR38" i="30" s="1"/>
  <c r="AR37" i="30"/>
  <c r="U32" i="30"/>
  <c r="S32" i="30" s="1"/>
  <c r="T32" i="30" s="1"/>
  <c r="AP39" i="30"/>
  <c r="AS39" i="30" s="1"/>
  <c r="AP40" i="30"/>
  <c r="AS36" i="30"/>
  <c r="AS40" i="30" s="1"/>
  <c r="AM8" i="30"/>
  <c r="L9" i="30"/>
  <c r="AP38" i="29"/>
  <c r="AS38" i="29" s="1"/>
  <c r="AS37" i="29"/>
  <c r="AE40" i="29"/>
  <c r="A36" i="29" s="1"/>
  <c r="AP39" i="29"/>
  <c r="AS39" i="29" s="1"/>
  <c r="AP40" i="29"/>
  <c r="AS36" i="29"/>
  <c r="AS40" i="29" s="1"/>
  <c r="AC36" i="29"/>
  <c r="I16" i="29"/>
  <c r="L10" i="29"/>
  <c r="AM9" i="29"/>
  <c r="AO40" i="29"/>
  <c r="AR36" i="29"/>
  <c r="AR40" i="29" s="1"/>
  <c r="AO39" i="29"/>
  <c r="AR39" i="29" s="1"/>
  <c r="AO38" i="29"/>
  <c r="AR38" i="29" s="1"/>
  <c r="AR37" i="29"/>
  <c r="I24" i="29"/>
  <c r="AO38" i="28"/>
  <c r="AR38" i="28" s="1"/>
  <c r="AR37" i="28"/>
  <c r="AP39" i="28"/>
  <c r="AS39" i="28" s="1"/>
  <c r="AP40" i="28"/>
  <c r="AS36" i="28"/>
  <c r="AS40" i="28" s="1"/>
  <c r="AO40" i="28"/>
  <c r="AR36" i="28"/>
  <c r="AR40" i="28" s="1"/>
  <c r="AO39" i="28"/>
  <c r="AR39" i="28" s="1"/>
  <c r="AE40" i="28"/>
  <c r="A36" i="28" s="1"/>
  <c r="AP38" i="28"/>
  <c r="AS38" i="28" s="1"/>
  <c r="AS37" i="28"/>
  <c r="AC42" i="28"/>
  <c r="I24" i="28"/>
  <c r="L10" i="28"/>
  <c r="AM9" i="28"/>
  <c r="D57" i="6"/>
  <c r="G54" i="6"/>
  <c r="G57" i="6" s="1"/>
  <c r="D10" i="6"/>
  <c r="D11" i="6"/>
  <c r="D12" i="6"/>
  <c r="D13" i="6"/>
  <c r="D14" i="6"/>
  <c r="D15" i="6"/>
  <c r="D16" i="6"/>
  <c r="D17" i="6"/>
  <c r="D18" i="6"/>
  <c r="D19" i="6"/>
  <c r="D20" i="6"/>
  <c r="D21" i="6"/>
  <c r="D22" i="6"/>
  <c r="D23" i="6"/>
  <c r="D24" i="6"/>
  <c r="D25" i="6"/>
  <c r="D26" i="6"/>
  <c r="D27" i="6"/>
  <c r="D28" i="6"/>
  <c r="D33" i="6" l="1"/>
  <c r="D35" i="6"/>
  <c r="D34" i="6"/>
  <c r="D32" i="6"/>
  <c r="B74" i="26"/>
  <c r="B71" i="26"/>
  <c r="B73" i="26"/>
  <c r="B75" i="26"/>
  <c r="F19" i="29"/>
  <c r="F24" i="29" s="1"/>
  <c r="F19" i="32"/>
  <c r="F24" i="32" s="1"/>
  <c r="F19" i="31"/>
  <c r="F24" i="31" s="1"/>
  <c r="F19" i="28"/>
  <c r="F24" i="28" s="1"/>
  <c r="F19" i="30"/>
  <c r="F24" i="30" s="1"/>
  <c r="E19" i="30"/>
  <c r="E24" i="30" s="1"/>
  <c r="E19" i="29"/>
  <c r="E24" i="29" s="1"/>
  <c r="E19" i="32"/>
  <c r="E24" i="32" s="1"/>
  <c r="E19" i="31"/>
  <c r="E24" i="31" s="1"/>
  <c r="E19" i="28"/>
  <c r="E24" i="28" s="1"/>
  <c r="B19" i="28"/>
  <c r="B24" i="28" s="1"/>
  <c r="AO6" i="28" s="1"/>
  <c r="B19" i="32"/>
  <c r="B24" i="32" s="1"/>
  <c r="AO6" i="32" s="1"/>
  <c r="B19" i="31"/>
  <c r="B24" i="31" s="1"/>
  <c r="AO6" i="31" s="1"/>
  <c r="B19" i="29"/>
  <c r="B24" i="29" s="1"/>
  <c r="AO6" i="29" s="1"/>
  <c r="B19" i="30"/>
  <c r="B24" i="30" s="1"/>
  <c r="AO6" i="30" s="1"/>
  <c r="U32" i="32"/>
  <c r="S32" i="32" s="1"/>
  <c r="T32" i="32" s="1"/>
  <c r="U33" i="32"/>
  <c r="S33" i="32" s="1"/>
  <c r="T33" i="32" s="1"/>
  <c r="AM10" i="32"/>
  <c r="L11" i="32"/>
  <c r="L11" i="31"/>
  <c r="AM10" i="31"/>
  <c r="U33" i="31"/>
  <c r="S33" i="31" s="1"/>
  <c r="T33" i="31" s="1"/>
  <c r="U33" i="30"/>
  <c r="S33" i="30" s="1"/>
  <c r="T33" i="30" s="1"/>
  <c r="L10" i="30"/>
  <c r="AM9" i="30"/>
  <c r="L11" i="29"/>
  <c r="AM10" i="29"/>
  <c r="U33" i="29"/>
  <c r="S33" i="29" s="1"/>
  <c r="T33" i="29" s="1"/>
  <c r="U32" i="29"/>
  <c r="S32" i="29" s="1"/>
  <c r="T32" i="29" s="1"/>
  <c r="U33" i="28"/>
  <c r="S33" i="28" s="1"/>
  <c r="T33" i="28" s="1"/>
  <c r="L11" i="28"/>
  <c r="AM10" i="28"/>
  <c r="C24" i="29" l="1"/>
  <c r="AP6" i="29" s="1"/>
  <c r="AS6" i="29"/>
  <c r="AO28" i="30"/>
  <c r="AO27" i="30"/>
  <c r="AO20" i="30"/>
  <c r="AO18" i="30"/>
  <c r="AO7" i="30"/>
  <c r="AO13" i="30"/>
  <c r="AO30" i="30"/>
  <c r="AO22" i="30"/>
  <c r="AO12" i="30"/>
  <c r="AO23" i="30"/>
  <c r="AO10" i="30"/>
  <c r="AO26" i="30"/>
  <c r="AO24" i="30"/>
  <c r="AO17" i="30"/>
  <c r="AO15" i="30"/>
  <c r="AO11" i="30"/>
  <c r="AO9" i="30"/>
  <c r="AO25" i="30"/>
  <c r="AO19" i="30"/>
  <c r="AO14" i="30"/>
  <c r="AO29" i="30"/>
  <c r="AO21" i="30"/>
  <c r="AO16" i="30"/>
  <c r="AO8" i="30"/>
  <c r="D24" i="31"/>
  <c r="AQ6" i="31" s="1"/>
  <c r="AR6" i="31"/>
  <c r="AO30" i="31"/>
  <c r="AO22" i="31"/>
  <c r="AO19" i="31"/>
  <c r="AO13" i="31"/>
  <c r="AO12" i="31"/>
  <c r="AO20" i="31"/>
  <c r="AO21" i="31"/>
  <c r="AO7" i="31"/>
  <c r="AO24" i="31"/>
  <c r="AO16" i="31"/>
  <c r="AO14" i="31"/>
  <c r="AO29" i="31"/>
  <c r="AO26" i="31"/>
  <c r="AO25" i="31"/>
  <c r="AO9" i="31"/>
  <c r="AO10" i="31"/>
  <c r="AO15" i="31"/>
  <c r="AO28" i="31"/>
  <c r="AO27" i="31"/>
  <c r="AO17" i="31"/>
  <c r="AO8" i="31"/>
  <c r="AO23" i="31"/>
  <c r="AO18" i="31"/>
  <c r="AO11" i="31"/>
  <c r="AS6" i="31"/>
  <c r="C24" i="31"/>
  <c r="AP6" i="31" s="1"/>
  <c r="AO29" i="32"/>
  <c r="AO23" i="32"/>
  <c r="AO24" i="32"/>
  <c r="AO8" i="32"/>
  <c r="AO17" i="32"/>
  <c r="AO7" i="32"/>
  <c r="AO13" i="32"/>
  <c r="AO15" i="32"/>
  <c r="AO28" i="32"/>
  <c r="AO22" i="32"/>
  <c r="AO20" i="32"/>
  <c r="AO26" i="32"/>
  <c r="AO19" i="32"/>
  <c r="AO11" i="32"/>
  <c r="AO27" i="32"/>
  <c r="AO21" i="32"/>
  <c r="AO16" i="32"/>
  <c r="AO12" i="32"/>
  <c r="AO30" i="32"/>
  <c r="AO25" i="32"/>
  <c r="AO18" i="32"/>
  <c r="AO14" i="32"/>
  <c r="AO9" i="32"/>
  <c r="AO10" i="32"/>
  <c r="AR6" i="32"/>
  <c r="D24" i="32"/>
  <c r="AQ6" i="32" s="1"/>
  <c r="D24" i="29"/>
  <c r="AQ6" i="29" s="1"/>
  <c r="AR6" i="29"/>
  <c r="AS6" i="30"/>
  <c r="C24" i="30"/>
  <c r="AP6" i="30" s="1"/>
  <c r="AS6" i="32"/>
  <c r="C24" i="32"/>
  <c r="AP6" i="32" s="1"/>
  <c r="AO28" i="29"/>
  <c r="AO27" i="29"/>
  <c r="AO12" i="29"/>
  <c r="AO17" i="29"/>
  <c r="AO16" i="29"/>
  <c r="AO9" i="29"/>
  <c r="AO24" i="29"/>
  <c r="AO7" i="29"/>
  <c r="AO22" i="29"/>
  <c r="AO23" i="29"/>
  <c r="AO13" i="29"/>
  <c r="AO26" i="29"/>
  <c r="AO19" i="29"/>
  <c r="AO10" i="29"/>
  <c r="AO15" i="29"/>
  <c r="AO14" i="29"/>
  <c r="AO20" i="29"/>
  <c r="AO30" i="29"/>
  <c r="AO25" i="29"/>
  <c r="AO11" i="29"/>
  <c r="AO8" i="29"/>
  <c r="AO29" i="29"/>
  <c r="AO18" i="29"/>
  <c r="AO21" i="29"/>
  <c r="AO28" i="28"/>
  <c r="AO24" i="28"/>
  <c r="AO18" i="28"/>
  <c r="AO9" i="28"/>
  <c r="AO10" i="28"/>
  <c r="AO8" i="28"/>
  <c r="AO25" i="28"/>
  <c r="AO16" i="28"/>
  <c r="AO29" i="28"/>
  <c r="AO21" i="28"/>
  <c r="AO12" i="28"/>
  <c r="AO26" i="28"/>
  <c r="AO22" i="28"/>
  <c r="AO20" i="28"/>
  <c r="AO19" i="28"/>
  <c r="AO7" i="28"/>
  <c r="AO14" i="28"/>
  <c r="AO30" i="28"/>
  <c r="AO27" i="28"/>
  <c r="AO17" i="28"/>
  <c r="AO15" i="28"/>
  <c r="AO23" i="28"/>
  <c r="AO13" i="28"/>
  <c r="AO11" i="28"/>
  <c r="D24" i="28"/>
  <c r="AQ6" i="28" s="1"/>
  <c r="AR6" i="28"/>
  <c r="AR6" i="30"/>
  <c r="D24" i="30"/>
  <c r="AQ6" i="30" s="1"/>
  <c r="C24" i="28"/>
  <c r="AP6" i="28" s="1"/>
  <c r="AS6" i="28"/>
  <c r="AM11" i="32"/>
  <c r="L12" i="32"/>
  <c r="L12" i="31"/>
  <c r="AM11" i="31"/>
  <c r="L11" i="30"/>
  <c r="AM10" i="30"/>
  <c r="L12" i="29"/>
  <c r="AM11" i="29"/>
  <c r="L12" i="28"/>
  <c r="AM11" i="28"/>
  <c r="E77" i="26"/>
  <c r="A37" i="15"/>
  <c r="C70" i="26" s="1"/>
  <c r="G52" i="26"/>
  <c r="F52" i="26"/>
  <c r="G47" i="26"/>
  <c r="C48" i="26"/>
  <c r="C47" i="26"/>
  <c r="E42" i="26"/>
  <c r="E43" i="26"/>
  <c r="E44" i="26"/>
  <c r="C42" i="26"/>
  <c r="D42" i="26"/>
  <c r="F42" i="26"/>
  <c r="G42" i="26"/>
  <c r="H42" i="26"/>
  <c r="C43" i="26"/>
  <c r="D43" i="26"/>
  <c r="F43" i="26"/>
  <c r="G43" i="26"/>
  <c r="H43" i="26"/>
  <c r="C44" i="26"/>
  <c r="D44" i="26"/>
  <c r="F44" i="26"/>
  <c r="G44" i="26"/>
  <c r="H44" i="26"/>
  <c r="D41" i="26"/>
  <c r="E41" i="26"/>
  <c r="F41" i="26"/>
  <c r="G41" i="26"/>
  <c r="H41" i="26"/>
  <c r="C41" i="26"/>
  <c r="G36" i="26"/>
  <c r="G29" i="26"/>
  <c r="G28" i="26"/>
  <c r="G27" i="26"/>
  <c r="B34" i="26"/>
  <c r="C34" i="26"/>
  <c r="F34" i="26"/>
  <c r="G34" i="26"/>
  <c r="H34" i="26"/>
  <c r="B35" i="26"/>
  <c r="C35" i="26"/>
  <c r="E35" i="26"/>
  <c r="F35" i="26"/>
  <c r="G35" i="26"/>
  <c r="H35" i="26"/>
  <c r="C33" i="26"/>
  <c r="E33" i="26"/>
  <c r="F33" i="26"/>
  <c r="G33" i="26"/>
  <c r="H33" i="26"/>
  <c r="B33" i="26"/>
  <c r="E29" i="26"/>
  <c r="F29" i="26"/>
  <c r="D28" i="26"/>
  <c r="D29" i="26"/>
  <c r="D27" i="26"/>
  <c r="C21" i="26"/>
  <c r="D21" i="26"/>
  <c r="E21" i="26"/>
  <c r="F21" i="26"/>
  <c r="G21" i="26"/>
  <c r="H21" i="26"/>
  <c r="C22" i="26"/>
  <c r="D22" i="26"/>
  <c r="E22" i="26"/>
  <c r="F22" i="26"/>
  <c r="G22" i="26"/>
  <c r="H22" i="26"/>
  <c r="C23" i="26"/>
  <c r="D23" i="26"/>
  <c r="E23" i="26"/>
  <c r="F23" i="26"/>
  <c r="G23" i="26"/>
  <c r="H23" i="26"/>
  <c r="D20" i="26"/>
  <c r="E20" i="26"/>
  <c r="F20" i="26"/>
  <c r="G20" i="26"/>
  <c r="H20" i="26"/>
  <c r="C20" i="26"/>
  <c r="AS30" i="28" l="1"/>
  <c r="AS25" i="28"/>
  <c r="AS22" i="28"/>
  <c r="AS17" i="28"/>
  <c r="AS16" i="28"/>
  <c r="AS15" i="28"/>
  <c r="AS29" i="28"/>
  <c r="AS23" i="28"/>
  <c r="AS21" i="28"/>
  <c r="AS19" i="28"/>
  <c r="AS12" i="28"/>
  <c r="AS11" i="28"/>
  <c r="AS26" i="28"/>
  <c r="AS20" i="28"/>
  <c r="AS7" i="28"/>
  <c r="AS9" i="28"/>
  <c r="AS28" i="28"/>
  <c r="AS10" i="28"/>
  <c r="AS27" i="28"/>
  <c r="AS13" i="28"/>
  <c r="AS8" i="28"/>
  <c r="AS24" i="28"/>
  <c r="AS14" i="28"/>
  <c r="AS18" i="28"/>
  <c r="AP26" i="30"/>
  <c r="AP23" i="30"/>
  <c r="AP21" i="30"/>
  <c r="AP17" i="30"/>
  <c r="AP14" i="30"/>
  <c r="AP15" i="30"/>
  <c r="AP27" i="30"/>
  <c r="AP30" i="30"/>
  <c r="AP19" i="30"/>
  <c r="AP11" i="30"/>
  <c r="AP8" i="30"/>
  <c r="AP10" i="30"/>
  <c r="AP29" i="30"/>
  <c r="AP16" i="30"/>
  <c r="AP13" i="30"/>
  <c r="AP25" i="30"/>
  <c r="AP18" i="30"/>
  <c r="AP9" i="30"/>
  <c r="AP24" i="30"/>
  <c r="AP7" i="30"/>
  <c r="AP20" i="30"/>
  <c r="AP22" i="30"/>
  <c r="AP12" i="30"/>
  <c r="AP28" i="30"/>
  <c r="AQ27" i="28"/>
  <c r="AQ21" i="28"/>
  <c r="AQ22" i="28"/>
  <c r="AQ16" i="28"/>
  <c r="AQ8" i="28"/>
  <c r="AQ12" i="28"/>
  <c r="AQ30" i="28"/>
  <c r="AQ25" i="28"/>
  <c r="AQ20" i="28"/>
  <c r="AQ15" i="28"/>
  <c r="AQ18" i="28"/>
  <c r="AQ10" i="28"/>
  <c r="AQ28" i="28"/>
  <c r="AQ19" i="28"/>
  <c r="AQ9" i="28"/>
  <c r="AQ24" i="28"/>
  <c r="AQ29" i="28"/>
  <c r="AQ13" i="28"/>
  <c r="AQ23" i="28"/>
  <c r="AQ11" i="28"/>
  <c r="AQ7" i="28"/>
  <c r="AQ26" i="28"/>
  <c r="AQ14" i="28"/>
  <c r="AQ17" i="28"/>
  <c r="AR30" i="32"/>
  <c r="AR22" i="32"/>
  <c r="AR16" i="32"/>
  <c r="AR11" i="32"/>
  <c r="AR17" i="32"/>
  <c r="AR12" i="32"/>
  <c r="AR29" i="32"/>
  <c r="AR25" i="32"/>
  <c r="AR26" i="32"/>
  <c r="AR20" i="32"/>
  <c r="AR15" i="32"/>
  <c r="AR7" i="32"/>
  <c r="AR28" i="32"/>
  <c r="AR21" i="32"/>
  <c r="AR13" i="32"/>
  <c r="AR14" i="32"/>
  <c r="AR10" i="32"/>
  <c r="AR24" i="32"/>
  <c r="AR18" i="32"/>
  <c r="AR9" i="32"/>
  <c r="AR23" i="32"/>
  <c r="AR8" i="32"/>
  <c r="AR27" i="32"/>
  <c r="AR19" i="32"/>
  <c r="AQ27" i="30"/>
  <c r="AQ24" i="30"/>
  <c r="AQ18" i="30"/>
  <c r="AQ16" i="30"/>
  <c r="AQ13" i="30"/>
  <c r="AQ10" i="30"/>
  <c r="AQ30" i="30"/>
  <c r="AQ22" i="30"/>
  <c r="AQ20" i="30"/>
  <c r="AQ14" i="30"/>
  <c r="AQ9" i="30"/>
  <c r="AQ7" i="30"/>
  <c r="AQ29" i="30"/>
  <c r="AQ17" i="30"/>
  <c r="AQ19" i="30"/>
  <c r="AQ28" i="30"/>
  <c r="AQ15" i="30"/>
  <c r="AQ12" i="30"/>
  <c r="AQ8" i="30"/>
  <c r="AQ11" i="30"/>
  <c r="AQ25" i="30"/>
  <c r="AQ26" i="30"/>
  <c r="AQ23" i="30"/>
  <c r="AQ21" i="30"/>
  <c r="AP26" i="32"/>
  <c r="AP23" i="32"/>
  <c r="AP24" i="32"/>
  <c r="AP19" i="32"/>
  <c r="AP12" i="32"/>
  <c r="AP16" i="32"/>
  <c r="AP29" i="32"/>
  <c r="AP22" i="32"/>
  <c r="AP20" i="32"/>
  <c r="AP13" i="32"/>
  <c r="AP10" i="32"/>
  <c r="AP14" i="32"/>
  <c r="AP30" i="32"/>
  <c r="AP17" i="32"/>
  <c r="AP7" i="32"/>
  <c r="AP21" i="32"/>
  <c r="AP25" i="32"/>
  <c r="AP15" i="32"/>
  <c r="AP11" i="32"/>
  <c r="AP9" i="32"/>
  <c r="AP28" i="32"/>
  <c r="AP18" i="32"/>
  <c r="AP27" i="32"/>
  <c r="AP8" i="32"/>
  <c r="AR30" i="29"/>
  <c r="AR23" i="29"/>
  <c r="AR21" i="29"/>
  <c r="AR16" i="29"/>
  <c r="AR10" i="29"/>
  <c r="AR8" i="29"/>
  <c r="AR29" i="29"/>
  <c r="AR24" i="29"/>
  <c r="AR20" i="29"/>
  <c r="AR13" i="29"/>
  <c r="AR7" i="29"/>
  <c r="AR18" i="29"/>
  <c r="AR25" i="29"/>
  <c r="AR19" i="29"/>
  <c r="AR11" i="29"/>
  <c r="AR27" i="29"/>
  <c r="AR26" i="29"/>
  <c r="AR28" i="29"/>
  <c r="AR15" i="29"/>
  <c r="AR22" i="29"/>
  <c r="AR9" i="29"/>
  <c r="AR14" i="29"/>
  <c r="AR12" i="29"/>
  <c r="AR17" i="29"/>
  <c r="AP29" i="31"/>
  <c r="AP23" i="31"/>
  <c r="AP22" i="31"/>
  <c r="AP10" i="31"/>
  <c r="AP16" i="31"/>
  <c r="AP13" i="31"/>
  <c r="AP30" i="31"/>
  <c r="AP21" i="31"/>
  <c r="AP20" i="31"/>
  <c r="AP7" i="31"/>
  <c r="AP15" i="31"/>
  <c r="AP9" i="31"/>
  <c r="AP27" i="31"/>
  <c r="AP17" i="31"/>
  <c r="AP14" i="31"/>
  <c r="AP25" i="31"/>
  <c r="AP12" i="31"/>
  <c r="AP8" i="31"/>
  <c r="AP28" i="31"/>
  <c r="AP19" i="31"/>
  <c r="AP18" i="31"/>
  <c r="AP26" i="31"/>
  <c r="AP11" i="31"/>
  <c r="AP24" i="31"/>
  <c r="AS26" i="29"/>
  <c r="AS25" i="29"/>
  <c r="AS23" i="29"/>
  <c r="AS7" i="29"/>
  <c r="AS14" i="29"/>
  <c r="AS30" i="29"/>
  <c r="AS24" i="29"/>
  <c r="AS19" i="29"/>
  <c r="AS18" i="29"/>
  <c r="AS15" i="29"/>
  <c r="AS27" i="29"/>
  <c r="AS10" i="29"/>
  <c r="AS9" i="29"/>
  <c r="AS29" i="29"/>
  <c r="AS16" i="29"/>
  <c r="AS11" i="29"/>
  <c r="AS17" i="29"/>
  <c r="AS22" i="29"/>
  <c r="AS8" i="29"/>
  <c r="AS20" i="29"/>
  <c r="AS21" i="29"/>
  <c r="AS13" i="29"/>
  <c r="AS12" i="29"/>
  <c r="AS28" i="29"/>
  <c r="AR30" i="28"/>
  <c r="AR25" i="28"/>
  <c r="AR21" i="28"/>
  <c r="AR14" i="28"/>
  <c r="AR9" i="28"/>
  <c r="AR7" i="28"/>
  <c r="AR29" i="28"/>
  <c r="AR23" i="28"/>
  <c r="AR19" i="28"/>
  <c r="AR8" i="28"/>
  <c r="AR20" i="28"/>
  <c r="AR15" i="28"/>
  <c r="AR26" i="28"/>
  <c r="AR18" i="28"/>
  <c r="AR10" i="28"/>
  <c r="AR27" i="28"/>
  <c r="AR16" i="28"/>
  <c r="AR24" i="28"/>
  <c r="AR17" i="28"/>
  <c r="AR11" i="28"/>
  <c r="AR22" i="28"/>
  <c r="AR13" i="28"/>
  <c r="AR28" i="28"/>
  <c r="AR12" i="28"/>
  <c r="AQ29" i="32"/>
  <c r="AQ24" i="32"/>
  <c r="AQ15" i="32"/>
  <c r="AQ10" i="32"/>
  <c r="AQ18" i="32"/>
  <c r="AQ13" i="32"/>
  <c r="AQ26" i="32"/>
  <c r="AQ25" i="32"/>
  <c r="AQ22" i="32"/>
  <c r="AQ19" i="32"/>
  <c r="AQ7" i="32"/>
  <c r="AQ14" i="32"/>
  <c r="AQ28" i="32"/>
  <c r="AQ12" i="32"/>
  <c r="AQ9" i="32"/>
  <c r="AQ30" i="32"/>
  <c r="AQ11" i="32"/>
  <c r="AQ27" i="32"/>
  <c r="AQ20" i="32"/>
  <c r="AQ21" i="32"/>
  <c r="AQ17" i="32"/>
  <c r="AQ8" i="32"/>
  <c r="AQ23" i="32"/>
  <c r="AQ16" i="32"/>
  <c r="AR28" i="31"/>
  <c r="AR22" i="31"/>
  <c r="AR16" i="31"/>
  <c r="AR8" i="31"/>
  <c r="AR18" i="31"/>
  <c r="AR11" i="31"/>
  <c r="AR27" i="31"/>
  <c r="AR25" i="31"/>
  <c r="AR20" i="31"/>
  <c r="AR26" i="31"/>
  <c r="AR15" i="31"/>
  <c r="AR12" i="31"/>
  <c r="AR24" i="31"/>
  <c r="AR14" i="31"/>
  <c r="AR7" i="31"/>
  <c r="AR30" i="31"/>
  <c r="AR17" i="31"/>
  <c r="AR13" i="31"/>
  <c r="AR21" i="31"/>
  <c r="AR23" i="31"/>
  <c r="AR29" i="31"/>
  <c r="AR9" i="31"/>
  <c r="AR10" i="31"/>
  <c r="AR19" i="31"/>
  <c r="AP27" i="28"/>
  <c r="AP30" i="28"/>
  <c r="AP20" i="28"/>
  <c r="AP17" i="28"/>
  <c r="AP15" i="28"/>
  <c r="AP9" i="28"/>
  <c r="AP29" i="28"/>
  <c r="AP25" i="28"/>
  <c r="AP23" i="28"/>
  <c r="AP12" i="28"/>
  <c r="AP11" i="28"/>
  <c r="AP13" i="28"/>
  <c r="AP22" i="28"/>
  <c r="AP16" i="28"/>
  <c r="AP8" i="28"/>
  <c r="AP26" i="28"/>
  <c r="AP7" i="28"/>
  <c r="AP19" i="28"/>
  <c r="AP28" i="28"/>
  <c r="AP18" i="28"/>
  <c r="AP10" i="28"/>
  <c r="AP21" i="28"/>
  <c r="AP24" i="28"/>
  <c r="AP14" i="28"/>
  <c r="AS26" i="30"/>
  <c r="AS24" i="30"/>
  <c r="AS19" i="30"/>
  <c r="AS7" i="30"/>
  <c r="AS13" i="30"/>
  <c r="AS9" i="30"/>
  <c r="AS30" i="30"/>
  <c r="AS27" i="30"/>
  <c r="AS22" i="30"/>
  <c r="AS16" i="30"/>
  <c r="AS11" i="30"/>
  <c r="AS15" i="30"/>
  <c r="AS23" i="30"/>
  <c r="AS10" i="30"/>
  <c r="AS8" i="30"/>
  <c r="AS29" i="30"/>
  <c r="AS20" i="30"/>
  <c r="AS21" i="30"/>
  <c r="AS25" i="30"/>
  <c r="AS14" i="30"/>
  <c r="AS18" i="30"/>
  <c r="AS17" i="30"/>
  <c r="AS12" i="30"/>
  <c r="AS28" i="30"/>
  <c r="AQ30" i="31"/>
  <c r="AQ25" i="31"/>
  <c r="AQ21" i="31"/>
  <c r="AQ15" i="31"/>
  <c r="AQ14" i="31"/>
  <c r="AQ10" i="31"/>
  <c r="AQ29" i="31"/>
  <c r="AQ23" i="31"/>
  <c r="AQ18" i="31"/>
  <c r="AQ19" i="31"/>
  <c r="AQ8" i="31"/>
  <c r="AQ7" i="31"/>
  <c r="AQ28" i="31"/>
  <c r="AQ20" i="31"/>
  <c r="AQ13" i="31"/>
  <c r="AQ26" i="31"/>
  <c r="AQ17" i="31"/>
  <c r="AQ9" i="31"/>
  <c r="AQ24" i="31"/>
  <c r="AQ27" i="31"/>
  <c r="AQ12" i="31"/>
  <c r="AQ16" i="31"/>
  <c r="AQ11" i="31"/>
  <c r="AQ22" i="31"/>
  <c r="AR29" i="30"/>
  <c r="AR25" i="30"/>
  <c r="AR22" i="30"/>
  <c r="AR19" i="30"/>
  <c r="AR12" i="30"/>
  <c r="AR11" i="30"/>
  <c r="AR28" i="30"/>
  <c r="AR23" i="30"/>
  <c r="AR20" i="30"/>
  <c r="AR16" i="30"/>
  <c r="AR10" i="30"/>
  <c r="AR8" i="30"/>
  <c r="AR26" i="30"/>
  <c r="AR17" i="30"/>
  <c r="AR7" i="30"/>
  <c r="AR21" i="30"/>
  <c r="AR15" i="30"/>
  <c r="AR14" i="30"/>
  <c r="AR18" i="30"/>
  <c r="AR13" i="30"/>
  <c r="AR30" i="30"/>
  <c r="AR24" i="30"/>
  <c r="AR27" i="30"/>
  <c r="AR9" i="30"/>
  <c r="AS29" i="32"/>
  <c r="AS24" i="32"/>
  <c r="AS14" i="32"/>
  <c r="AS17" i="32"/>
  <c r="AS25" i="32"/>
  <c r="AS7" i="32"/>
  <c r="AS28" i="32"/>
  <c r="AS21" i="32"/>
  <c r="AS8" i="32"/>
  <c r="AS15" i="32"/>
  <c r="AS16" i="32"/>
  <c r="AS23" i="32"/>
  <c r="AS27" i="32"/>
  <c r="AS22" i="32"/>
  <c r="AS12" i="32"/>
  <c r="AS13" i="32"/>
  <c r="AS26" i="32"/>
  <c r="AS19" i="32"/>
  <c r="AS10" i="32"/>
  <c r="AS18" i="32"/>
  <c r="AS11" i="32"/>
  <c r="AS9" i="32"/>
  <c r="AS30" i="32"/>
  <c r="AS20" i="32"/>
  <c r="AQ30" i="29"/>
  <c r="AQ23" i="29"/>
  <c r="AQ20" i="29"/>
  <c r="AQ26" i="29"/>
  <c r="AQ13" i="29"/>
  <c r="AQ7" i="29"/>
  <c r="AQ29" i="29"/>
  <c r="AQ24" i="29"/>
  <c r="AQ21" i="29"/>
  <c r="AQ17" i="29"/>
  <c r="AQ9" i="29"/>
  <c r="AQ11" i="29"/>
  <c r="AQ28" i="29"/>
  <c r="AQ19" i="29"/>
  <c r="AQ12" i="29"/>
  <c r="AQ25" i="29"/>
  <c r="AQ16" i="29"/>
  <c r="AQ10" i="29"/>
  <c r="AQ22" i="29"/>
  <c r="AQ15" i="29"/>
  <c r="AQ14" i="29"/>
  <c r="AQ8" i="29"/>
  <c r="AQ18" i="29"/>
  <c r="AQ27" i="29"/>
  <c r="AS27" i="31"/>
  <c r="AS19" i="31"/>
  <c r="AS23" i="31"/>
  <c r="AS16" i="31"/>
  <c r="AS20" i="31"/>
  <c r="AS14" i="31"/>
  <c r="AS30" i="31"/>
  <c r="AS24" i="31"/>
  <c r="AS25" i="31"/>
  <c r="AS15" i="31"/>
  <c r="AS12" i="31"/>
  <c r="AS17" i="31"/>
  <c r="AS26" i="31"/>
  <c r="AS9" i="31"/>
  <c r="AS8" i="31"/>
  <c r="AS29" i="31"/>
  <c r="AS21" i="31"/>
  <c r="AS10" i="31"/>
  <c r="AS22" i="31"/>
  <c r="AS11" i="31"/>
  <c r="AS7" i="31"/>
  <c r="AS18" i="31"/>
  <c r="AS13" i="31"/>
  <c r="AS28" i="31"/>
  <c r="AP26" i="29"/>
  <c r="AP30" i="29"/>
  <c r="AP22" i="29"/>
  <c r="AP15" i="29"/>
  <c r="AP8" i="29"/>
  <c r="AP7" i="29"/>
  <c r="AP27" i="29"/>
  <c r="AP25" i="29"/>
  <c r="AP20" i="29"/>
  <c r="AP11" i="29"/>
  <c r="AP19" i="29"/>
  <c r="AP10" i="29"/>
  <c r="AP21" i="29"/>
  <c r="AP18" i="29"/>
  <c r="AP9" i="29"/>
  <c r="AP28" i="29"/>
  <c r="AP14" i="29"/>
  <c r="AP17" i="29"/>
  <c r="AP23" i="29"/>
  <c r="AP16" i="29"/>
  <c r="AP12" i="29"/>
  <c r="AP24" i="29"/>
  <c r="AP29" i="29"/>
  <c r="AP13" i="29"/>
  <c r="L13" i="32"/>
  <c r="AM12" i="32"/>
  <c r="L13" i="31"/>
  <c r="AM12" i="31"/>
  <c r="L12" i="30"/>
  <c r="AM11" i="30"/>
  <c r="AM12" i="29"/>
  <c r="L13" i="29"/>
  <c r="L13" i="28"/>
  <c r="AM12" i="28"/>
  <c r="AA39" i="15"/>
  <c r="AA42" i="15"/>
  <c r="AA37" i="15"/>
  <c r="AA38" i="15"/>
  <c r="AA36" i="15"/>
  <c r="AA43" i="15"/>
  <c r="AA44" i="15"/>
  <c r="AA45" i="15"/>
  <c r="L7" i="15"/>
  <c r="L8" i="15" s="1"/>
  <c r="L9" i="15" s="1"/>
  <c r="L10" i="15" s="1"/>
  <c r="L11" i="15" s="1"/>
  <c r="L12" i="15" s="1"/>
  <c r="L13" i="15" s="1"/>
  <c r="L14" i="15" s="1"/>
  <c r="L15" i="15" s="1"/>
  <c r="L16" i="15" s="1"/>
  <c r="L17" i="15" s="1"/>
  <c r="L18" i="15" s="1"/>
  <c r="L19" i="15" s="1"/>
  <c r="L20" i="15" s="1"/>
  <c r="L21" i="15" s="1"/>
  <c r="L22" i="15" s="1"/>
  <c r="L23" i="15" s="1"/>
  <c r="L24" i="15" s="1"/>
  <c r="L25" i="15" s="1"/>
  <c r="L26" i="15" s="1"/>
  <c r="L27" i="15" s="1"/>
  <c r="L28" i="15" s="1"/>
  <c r="L29" i="15" s="1"/>
  <c r="A2" i="15"/>
  <c r="H11" i="15"/>
  <c r="L14" i="32" l="1"/>
  <c r="AM13" i="32"/>
  <c r="AM13" i="31"/>
  <c r="L14" i="31"/>
  <c r="AM12" i="30"/>
  <c r="L13" i="30"/>
  <c r="AM13" i="29"/>
  <c r="L14" i="29"/>
  <c r="AM13" i="28"/>
  <c r="L14" i="28"/>
  <c r="AE30" i="15"/>
  <c r="AK30" i="15"/>
  <c r="AM14" i="32" l="1"/>
  <c r="L15" i="32"/>
  <c r="AM14" i="31"/>
  <c r="L15" i="31"/>
  <c r="AM13" i="30"/>
  <c r="L14" i="30"/>
  <c r="L15" i="29"/>
  <c r="AM14" i="29"/>
  <c r="AM14" i="28"/>
  <c r="L15" i="28"/>
  <c r="G26" i="6"/>
  <c r="G25" i="6"/>
  <c r="G24" i="6"/>
  <c r="G23" i="6"/>
  <c r="G22" i="6"/>
  <c r="G20" i="6"/>
  <c r="G19" i="6"/>
  <c r="G18" i="6"/>
  <c r="G17" i="6"/>
  <c r="G15" i="6"/>
  <c r="G14" i="6"/>
  <c r="G13" i="6"/>
  <c r="G12" i="6"/>
  <c r="G11" i="6"/>
  <c r="G34" i="6" l="1"/>
  <c r="F34" i="6" s="1"/>
  <c r="L16" i="32"/>
  <c r="AM15" i="32"/>
  <c r="AM15" i="31"/>
  <c r="L16" i="31"/>
  <c r="L15" i="30"/>
  <c r="AM14" i="30"/>
  <c r="L16" i="29"/>
  <c r="AM15" i="29"/>
  <c r="L16" i="28"/>
  <c r="AM15" i="28"/>
  <c r="C57" i="6"/>
  <c r="D33" i="26"/>
  <c r="H21" i="15"/>
  <c r="AB43" i="15" s="1"/>
  <c r="AE43" i="15" s="1"/>
  <c r="J13" i="15"/>
  <c r="J14" i="15"/>
  <c r="J15" i="15"/>
  <c r="J12" i="15"/>
  <c r="AM16" i="32" l="1"/>
  <c r="L17" i="32"/>
  <c r="AM16" i="31"/>
  <c r="L17" i="31"/>
  <c r="L16" i="30"/>
  <c r="AM15" i="30"/>
  <c r="L17" i="29"/>
  <c r="AM16" i="29"/>
  <c r="AM16" i="28"/>
  <c r="L17" i="28"/>
  <c r="H36" i="26"/>
  <c r="AD38" i="15"/>
  <c r="I14" i="15"/>
  <c r="AC38" i="15" s="1"/>
  <c r="I15" i="15"/>
  <c r="AC39" i="15" s="1"/>
  <c r="AD39" i="15"/>
  <c r="I13" i="15"/>
  <c r="AD37" i="15"/>
  <c r="I12" i="15"/>
  <c r="AC36" i="15" s="1"/>
  <c r="AD36" i="15"/>
  <c r="D35" i="26"/>
  <c r="B12" i="15"/>
  <c r="D13" i="15"/>
  <c r="D14" i="15"/>
  <c r="D15" i="15"/>
  <c r="D12" i="15"/>
  <c r="C13" i="15"/>
  <c r="C14" i="15"/>
  <c r="C15" i="15"/>
  <c r="C12" i="15"/>
  <c r="B13" i="15"/>
  <c r="B14" i="15"/>
  <c r="B15" i="15"/>
  <c r="H13" i="15"/>
  <c r="AB37" i="15" s="1"/>
  <c r="AE37" i="15" s="1"/>
  <c r="H14" i="15"/>
  <c r="AB38" i="15" s="1"/>
  <c r="AE38" i="15" s="1"/>
  <c r="H15" i="15"/>
  <c r="AB39" i="15" s="1"/>
  <c r="AE39" i="15" s="1"/>
  <c r="H12" i="15"/>
  <c r="AB36" i="15" s="1"/>
  <c r="AE36" i="15" s="1"/>
  <c r="F13" i="15" l="1"/>
  <c r="F15" i="15"/>
  <c r="L18" i="32"/>
  <c r="AM17" i="32"/>
  <c r="AM17" i="31"/>
  <c r="L18" i="31"/>
  <c r="L17" i="30"/>
  <c r="AM16" i="30"/>
  <c r="AM17" i="29"/>
  <c r="L18" i="29"/>
  <c r="L18" i="28"/>
  <c r="AM17" i="28"/>
  <c r="D36" i="26"/>
  <c r="D34" i="26"/>
  <c r="F14" i="15"/>
  <c r="I16" i="15"/>
  <c r="U32" i="15" s="1"/>
  <c r="S32" i="15" s="1"/>
  <c r="AE40" i="15"/>
  <c r="A36" i="15" s="1"/>
  <c r="AC37" i="15"/>
  <c r="E12" i="15"/>
  <c r="F12" i="15"/>
  <c r="E15" i="15"/>
  <c r="E14" i="15"/>
  <c r="E13" i="15"/>
  <c r="E19" i="15"/>
  <c r="B19" i="15"/>
  <c r="H14" i="6"/>
  <c r="H19" i="6"/>
  <c r="H23" i="6"/>
  <c r="H22" i="6"/>
  <c r="B70" i="26" l="1"/>
  <c r="AM18" i="32"/>
  <c r="L19" i="32"/>
  <c r="L19" i="31"/>
  <c r="AM18" i="31"/>
  <c r="AM17" i="30"/>
  <c r="L18" i="30"/>
  <c r="L19" i="29"/>
  <c r="AM18" i="29"/>
  <c r="AM18" i="28"/>
  <c r="L19" i="28"/>
  <c r="E57" i="6"/>
  <c r="F57" i="6"/>
  <c r="F19" i="15"/>
  <c r="AM7" i="15"/>
  <c r="AM8" i="15"/>
  <c r="AM9" i="15"/>
  <c r="AM10" i="15"/>
  <c r="AM11" i="15"/>
  <c r="AM12" i="15"/>
  <c r="AM6" i="15"/>
  <c r="AM29" i="15"/>
  <c r="AM30" i="15" s="1"/>
  <c r="C19" i="32" l="1"/>
  <c r="C19" i="31"/>
  <c r="C19" i="30"/>
  <c r="C19" i="29"/>
  <c r="C19" i="28"/>
  <c r="D19" i="29"/>
  <c r="D19" i="28"/>
  <c r="D19" i="32"/>
  <c r="D19" i="31"/>
  <c r="D19" i="30"/>
  <c r="AM19" i="32"/>
  <c r="L20" i="32"/>
  <c r="AM19" i="31"/>
  <c r="L20" i="31"/>
  <c r="AM18" i="30"/>
  <c r="L19" i="30"/>
  <c r="AM19" i="29"/>
  <c r="L20" i="29"/>
  <c r="AM19" i="28"/>
  <c r="L20" i="28"/>
  <c r="E36" i="26"/>
  <c r="AM13" i="15"/>
  <c r="AM14" i="15"/>
  <c r="AM26" i="15"/>
  <c r="AM22" i="15"/>
  <c r="AM18" i="15"/>
  <c r="AM25" i="15"/>
  <c r="AM21" i="15"/>
  <c r="AM17" i="15"/>
  <c r="AM28" i="15"/>
  <c r="AM24" i="15"/>
  <c r="AM20" i="15"/>
  <c r="AM16" i="15"/>
  <c r="AM27" i="15"/>
  <c r="AM23" i="15"/>
  <c r="AM19" i="15"/>
  <c r="AM15" i="15"/>
  <c r="I28" i="15"/>
  <c r="I27" i="15"/>
  <c r="C53" i="26" s="1"/>
  <c r="I26" i="15"/>
  <c r="B21" i="15"/>
  <c r="B22" i="15"/>
  <c r="B23" i="15"/>
  <c r="B20" i="15"/>
  <c r="J23" i="15"/>
  <c r="J22" i="15"/>
  <c r="J21" i="15"/>
  <c r="J20" i="15"/>
  <c r="D23" i="15"/>
  <c r="D22" i="15"/>
  <c r="E22" i="15" s="1"/>
  <c r="C23" i="15"/>
  <c r="C22" i="15"/>
  <c r="D21" i="15"/>
  <c r="D20" i="15"/>
  <c r="C21" i="15"/>
  <c r="C20" i="15"/>
  <c r="H23" i="15"/>
  <c r="AB45" i="15" s="1"/>
  <c r="AE45" i="15" s="1"/>
  <c r="H22" i="15"/>
  <c r="AB44" i="15" s="1"/>
  <c r="AE44" i="15" s="1"/>
  <c r="H20" i="15"/>
  <c r="AB42" i="15" s="1"/>
  <c r="AE42" i="15" s="1"/>
  <c r="D11" i="15"/>
  <c r="C11" i="15"/>
  <c r="B11" i="15"/>
  <c r="A33" i="15"/>
  <c r="C62" i="26" s="1"/>
  <c r="H10" i="15"/>
  <c r="A35" i="15" s="1"/>
  <c r="G62" i="26" s="1"/>
  <c r="H9" i="15"/>
  <c r="A34" i="15" s="1"/>
  <c r="E62" i="26" s="1"/>
  <c r="AP36" i="15" l="1"/>
  <c r="AP37" i="15"/>
  <c r="AO36" i="15"/>
  <c r="AO37" i="15"/>
  <c r="L21" i="32"/>
  <c r="AM20" i="32"/>
  <c r="AM20" i="31"/>
  <c r="L21" i="31"/>
  <c r="L20" i="30"/>
  <c r="AM19" i="30"/>
  <c r="AM20" i="29"/>
  <c r="L21" i="29"/>
  <c r="L21" i="28"/>
  <c r="AM20" i="28"/>
  <c r="E23" i="15"/>
  <c r="T32" i="15"/>
  <c r="I23" i="15"/>
  <c r="AC45" i="15" s="1"/>
  <c r="AD45" i="15"/>
  <c r="AD43" i="15"/>
  <c r="I21" i="15"/>
  <c r="AC43" i="15" s="1"/>
  <c r="AD44" i="15"/>
  <c r="I22" i="15"/>
  <c r="AC44" i="15" s="1"/>
  <c r="AD42" i="15"/>
  <c r="I20" i="15"/>
  <c r="AC42" i="15" s="1"/>
  <c r="AE46" i="15"/>
  <c r="E21" i="15"/>
  <c r="F11" i="15"/>
  <c r="E11" i="15"/>
  <c r="E20" i="15"/>
  <c r="F21" i="15"/>
  <c r="F20" i="15"/>
  <c r="F23" i="15"/>
  <c r="F22" i="15"/>
  <c r="B24" i="15"/>
  <c r="G5" i="6"/>
  <c r="G5" i="26" s="1"/>
  <c r="G16" i="6"/>
  <c r="G33" i="6" s="1"/>
  <c r="F33" i="6" s="1"/>
  <c r="G21" i="6"/>
  <c r="F48" i="6" s="1"/>
  <c r="G27" i="6"/>
  <c r="G28" i="6"/>
  <c r="G29" i="6"/>
  <c r="G30" i="6"/>
  <c r="G31" i="6"/>
  <c r="G10" i="6"/>
  <c r="G32" i="6" s="1"/>
  <c r="F32" i="6" s="1"/>
  <c r="C34" i="6"/>
  <c r="C13" i="26" s="1"/>
  <c r="C33" i="6"/>
  <c r="C12" i="26" s="1"/>
  <c r="C35" i="6"/>
  <c r="C14" i="26" s="1"/>
  <c r="C32" i="6"/>
  <c r="C11" i="26" s="1"/>
  <c r="C36" i="6"/>
  <c r="C15" i="26" s="1"/>
  <c r="A1" i="15"/>
  <c r="G35" i="6" l="1"/>
  <c r="F35" i="6" s="1"/>
  <c r="G36" i="6"/>
  <c r="F36" i="6" s="1"/>
  <c r="J38" i="6" s="1"/>
  <c r="F49" i="6"/>
  <c r="AR36" i="15"/>
  <c r="AR40" i="15" s="1"/>
  <c r="AO40" i="15"/>
  <c r="AO39" i="15"/>
  <c r="AR39" i="15" s="1"/>
  <c r="AS37" i="15"/>
  <c r="AP38" i="15"/>
  <c r="AS38" i="15" s="1"/>
  <c r="AR37" i="15"/>
  <c r="AO38" i="15"/>
  <c r="AR38" i="15" s="1"/>
  <c r="AS36" i="15"/>
  <c r="AS40" i="15" s="1"/>
  <c r="AP40" i="15"/>
  <c r="AP39" i="15"/>
  <c r="AS39" i="15" s="1"/>
  <c r="L22" i="32"/>
  <c r="AM21" i="32"/>
  <c r="L22" i="31"/>
  <c r="AM21" i="31"/>
  <c r="AM20" i="30"/>
  <c r="L21" i="30"/>
  <c r="L22" i="29"/>
  <c r="AM21" i="29"/>
  <c r="L22" i="28"/>
  <c r="AM21" i="28"/>
  <c r="I24" i="15"/>
  <c r="U33" i="15" s="1"/>
  <c r="S33" i="15" s="1"/>
  <c r="T33" i="15" s="1"/>
  <c r="E24" i="15"/>
  <c r="D24" i="15" s="1"/>
  <c r="F24" i="15"/>
  <c r="C24" i="15" s="1"/>
  <c r="C37" i="6"/>
  <c r="C58" i="6" s="1"/>
  <c r="C37" i="26" s="1"/>
  <c r="H25" i="6"/>
  <c r="H13" i="6"/>
  <c r="H28" i="6"/>
  <c r="H24" i="6"/>
  <c r="H12" i="6"/>
  <c r="H29" i="6"/>
  <c r="H17" i="6"/>
  <c r="H31" i="6"/>
  <c r="H27" i="6"/>
  <c r="H15" i="6"/>
  <c r="H11" i="6"/>
  <c r="H20" i="6"/>
  <c r="H30" i="6"/>
  <c r="H26" i="6"/>
  <c r="H21" i="6"/>
  <c r="H18" i="6"/>
  <c r="H10" i="6"/>
  <c r="H16" i="6"/>
  <c r="H34" i="6" l="1"/>
  <c r="E34" i="6" s="1"/>
  <c r="E48" i="6" s="1"/>
  <c r="H33" i="6"/>
  <c r="E33" i="6" s="1"/>
  <c r="H35" i="6"/>
  <c r="E35" i="6" s="1"/>
  <c r="H36" i="6"/>
  <c r="E36" i="6" s="1"/>
  <c r="D9" i="31"/>
  <c r="E9" i="31" s="1"/>
  <c r="D9" i="30"/>
  <c r="E9" i="30" s="1"/>
  <c r="D9" i="29"/>
  <c r="E9" i="29" s="1"/>
  <c r="D9" i="32"/>
  <c r="E9" i="32" s="1"/>
  <c r="D9" i="28"/>
  <c r="F27" i="26"/>
  <c r="D9" i="15"/>
  <c r="E9" i="15" s="1"/>
  <c r="D10" i="31"/>
  <c r="E10" i="31" s="1"/>
  <c r="D10" i="30"/>
  <c r="E10" i="30" s="1"/>
  <c r="D10" i="29"/>
  <c r="D10" i="32"/>
  <c r="E10" i="32" s="1"/>
  <c r="D10" i="28"/>
  <c r="F28" i="26"/>
  <c r="D10" i="15"/>
  <c r="E10" i="15" s="1"/>
  <c r="H32" i="6"/>
  <c r="E32" i="6" s="1"/>
  <c r="D12" i="26"/>
  <c r="B8" i="28"/>
  <c r="B8" i="15"/>
  <c r="B8" i="29"/>
  <c r="B8" i="32"/>
  <c r="B8" i="31"/>
  <c r="B8" i="30"/>
  <c r="D15" i="26"/>
  <c r="B7" i="32"/>
  <c r="B7" i="30"/>
  <c r="B7" i="28"/>
  <c r="B7" i="31"/>
  <c r="B7" i="29"/>
  <c r="D11" i="26"/>
  <c r="B4" i="30"/>
  <c r="B4" i="32"/>
  <c r="B4" i="31"/>
  <c r="B4" i="29"/>
  <c r="B4" i="28"/>
  <c r="D14" i="26"/>
  <c r="B6" i="32"/>
  <c r="B6" i="31"/>
  <c r="B6" i="29"/>
  <c r="B6" i="30"/>
  <c r="B6" i="28"/>
  <c r="D13" i="26"/>
  <c r="B5" i="30"/>
  <c r="B5" i="32"/>
  <c r="B5" i="31"/>
  <c r="B5" i="29"/>
  <c r="B10" i="29" s="1"/>
  <c r="B5" i="28"/>
  <c r="B9" i="28" s="1"/>
  <c r="AM22" i="32"/>
  <c r="L23" i="32"/>
  <c r="AM22" i="31"/>
  <c r="L23" i="31"/>
  <c r="AM21" i="30"/>
  <c r="L22" i="30"/>
  <c r="AM22" i="29"/>
  <c r="L23" i="29"/>
  <c r="L23" i="28"/>
  <c r="AM22" i="28"/>
  <c r="C16" i="26"/>
  <c r="D37" i="6"/>
  <c r="D16" i="26" s="1"/>
  <c r="B5" i="15"/>
  <c r="B7" i="15"/>
  <c r="K37" i="6"/>
  <c r="B6" i="15"/>
  <c r="J37" i="6"/>
  <c r="B4" i="15"/>
  <c r="E49" i="6" l="1"/>
  <c r="E9" i="28"/>
  <c r="E10" i="29"/>
  <c r="E10" i="28"/>
  <c r="H12" i="26"/>
  <c r="F8" i="28"/>
  <c r="F8" i="29"/>
  <c r="F8" i="15"/>
  <c r="F8" i="30"/>
  <c r="F8" i="32"/>
  <c r="F8" i="31"/>
  <c r="E8" i="32"/>
  <c r="E8" i="31"/>
  <c r="E8" i="28"/>
  <c r="E8" i="30"/>
  <c r="E8" i="29"/>
  <c r="E8" i="15"/>
  <c r="H15" i="26"/>
  <c r="F7" i="31"/>
  <c r="F7" i="29"/>
  <c r="F7" i="32"/>
  <c r="F7" i="30"/>
  <c r="F7" i="28"/>
  <c r="G15" i="26"/>
  <c r="E7" i="31"/>
  <c r="E7" i="29"/>
  <c r="E7" i="28"/>
  <c r="E7" i="32"/>
  <c r="E7" i="30"/>
  <c r="F6" i="32"/>
  <c r="F6" i="31"/>
  <c r="F6" i="29"/>
  <c r="F6" i="28"/>
  <c r="F6" i="30"/>
  <c r="E5" i="28"/>
  <c r="E5" i="30"/>
  <c r="E5" i="32"/>
  <c r="E5" i="31"/>
  <c r="E5" i="29"/>
  <c r="B16" i="32"/>
  <c r="B26" i="32"/>
  <c r="H11" i="26"/>
  <c r="F4" i="30"/>
  <c r="F4" i="28"/>
  <c r="F4" i="32"/>
  <c r="F4" i="31"/>
  <c r="F4" i="29"/>
  <c r="B16" i="28"/>
  <c r="B26" i="28"/>
  <c r="B16" i="30"/>
  <c r="B26" i="30"/>
  <c r="F5" i="30"/>
  <c r="F5" i="32"/>
  <c r="F5" i="31"/>
  <c r="F5" i="29"/>
  <c r="F5" i="28"/>
  <c r="B16" i="31"/>
  <c r="B26" i="31"/>
  <c r="E6" i="30"/>
  <c r="E6" i="32"/>
  <c r="E6" i="31"/>
  <c r="E6" i="29"/>
  <c r="E6" i="28"/>
  <c r="G11" i="26"/>
  <c r="E4" i="28"/>
  <c r="E4" i="31"/>
  <c r="E4" i="29"/>
  <c r="E4" i="32"/>
  <c r="E4" i="30"/>
  <c r="B26" i="29"/>
  <c r="B16" i="29"/>
  <c r="B27" i="29" s="1"/>
  <c r="L24" i="32"/>
  <c r="AM23" i="32"/>
  <c r="L24" i="31"/>
  <c r="AM23" i="31"/>
  <c r="L23" i="30"/>
  <c r="AM22" i="30"/>
  <c r="L24" i="29"/>
  <c r="AM23" i="29"/>
  <c r="L24" i="28"/>
  <c r="AM23" i="28"/>
  <c r="G12" i="26"/>
  <c r="G14" i="26"/>
  <c r="G13" i="26"/>
  <c r="H13" i="26"/>
  <c r="F6" i="15"/>
  <c r="H14" i="26"/>
  <c r="H37" i="6"/>
  <c r="B26" i="15"/>
  <c r="B16" i="15"/>
  <c r="B27" i="15" s="1"/>
  <c r="E4" i="15"/>
  <c r="G37" i="6"/>
  <c r="F37" i="6" s="1"/>
  <c r="F5" i="15"/>
  <c r="F4" i="15"/>
  <c r="E7" i="15"/>
  <c r="E5" i="15"/>
  <c r="F7" i="15"/>
  <c r="E6" i="15"/>
  <c r="AS6" i="15"/>
  <c r="AS30" i="15" s="1"/>
  <c r="AR6" i="15"/>
  <c r="AR30" i="15" s="1"/>
  <c r="C9" i="31" l="1"/>
  <c r="F9" i="31" s="1"/>
  <c r="C9" i="28"/>
  <c r="F9" i="28" s="1"/>
  <c r="C9" i="32"/>
  <c r="F9" i="32" s="1"/>
  <c r="C9" i="30"/>
  <c r="F9" i="30" s="1"/>
  <c r="C9" i="29"/>
  <c r="F9" i="29" s="1"/>
  <c r="E27" i="26"/>
  <c r="C9" i="15"/>
  <c r="F9" i="15" s="1"/>
  <c r="C10" i="29"/>
  <c r="F10" i="29" s="1"/>
  <c r="C10" i="28"/>
  <c r="F10" i="28" s="1"/>
  <c r="C10" i="32"/>
  <c r="F10" i="32" s="1"/>
  <c r="C10" i="31"/>
  <c r="F10" i="31" s="1"/>
  <c r="F16" i="31" s="1"/>
  <c r="C10" i="30"/>
  <c r="F10" i="30" s="1"/>
  <c r="E28" i="26"/>
  <c r="C10" i="15"/>
  <c r="F10" i="15" s="1"/>
  <c r="E16" i="30"/>
  <c r="D16" i="30" s="1"/>
  <c r="E16" i="28"/>
  <c r="D16" i="28" s="1"/>
  <c r="E16" i="29"/>
  <c r="D16" i="29" s="1"/>
  <c r="F12" i="26"/>
  <c r="D8" i="30"/>
  <c r="D8" i="32"/>
  <c r="D8" i="31"/>
  <c r="D8" i="29"/>
  <c r="D8" i="28"/>
  <c r="D8" i="15"/>
  <c r="E12" i="26"/>
  <c r="C8" i="29"/>
  <c r="C8" i="15"/>
  <c r="C8" i="30"/>
  <c r="C8" i="32"/>
  <c r="C8" i="31"/>
  <c r="C8" i="28"/>
  <c r="F15" i="26"/>
  <c r="D7" i="28"/>
  <c r="D7" i="31"/>
  <c r="D7" i="29"/>
  <c r="D7" i="32"/>
  <c r="D7" i="30"/>
  <c r="E15" i="26"/>
  <c r="C7" i="32"/>
  <c r="C7" i="30"/>
  <c r="C7" i="28"/>
  <c r="C7" i="31"/>
  <c r="C7" i="29"/>
  <c r="E14" i="26"/>
  <c r="C6" i="28"/>
  <c r="C6" i="32"/>
  <c r="C6" i="29"/>
  <c r="C6" i="30"/>
  <c r="C6" i="31"/>
  <c r="E16" i="32"/>
  <c r="AU28" i="28"/>
  <c r="AU24" i="28"/>
  <c r="AU20" i="28"/>
  <c r="AU12" i="28"/>
  <c r="AU15" i="28"/>
  <c r="AU8" i="28"/>
  <c r="AU16" i="28"/>
  <c r="AU26" i="28"/>
  <c r="AU22" i="28"/>
  <c r="AU29" i="28"/>
  <c r="AU10" i="28"/>
  <c r="AU11" i="28"/>
  <c r="AU6" i="28"/>
  <c r="AU23" i="28"/>
  <c r="AU25" i="28"/>
  <c r="AU27" i="28"/>
  <c r="AU18" i="28"/>
  <c r="AU19" i="28"/>
  <c r="AU7" i="28"/>
  <c r="AU17" i="28"/>
  <c r="AU21" i="28"/>
  <c r="AU9" i="28"/>
  <c r="AU30" i="28"/>
  <c r="AU14" i="28"/>
  <c r="AU13" i="28"/>
  <c r="B27" i="28"/>
  <c r="B27" i="32"/>
  <c r="AU25" i="32"/>
  <c r="AU20" i="32"/>
  <c r="AU22" i="32"/>
  <c r="AU9" i="32"/>
  <c r="AU7" i="32"/>
  <c r="AU6" i="32"/>
  <c r="AU26" i="32"/>
  <c r="AU23" i="32"/>
  <c r="AU17" i="32"/>
  <c r="AU19" i="32"/>
  <c r="AU16" i="32"/>
  <c r="AU11" i="32"/>
  <c r="AU28" i="32"/>
  <c r="AU18" i="32"/>
  <c r="AU13" i="32"/>
  <c r="AU14" i="32"/>
  <c r="AU30" i="32"/>
  <c r="AU21" i="32"/>
  <c r="AU15" i="32"/>
  <c r="AU24" i="32"/>
  <c r="AU12" i="32"/>
  <c r="AU8" i="32"/>
  <c r="AU27" i="32"/>
  <c r="AU29" i="32"/>
  <c r="AU10" i="32"/>
  <c r="F13" i="26"/>
  <c r="D5" i="28"/>
  <c r="D5" i="31"/>
  <c r="D5" i="30"/>
  <c r="D5" i="32"/>
  <c r="D5" i="29"/>
  <c r="AU27" i="29"/>
  <c r="AU23" i="29"/>
  <c r="AU20" i="29"/>
  <c r="AU19" i="29"/>
  <c r="AU18" i="29"/>
  <c r="AU16" i="29"/>
  <c r="AU6" i="29"/>
  <c r="AU28" i="29"/>
  <c r="AU30" i="29"/>
  <c r="AU24" i="29"/>
  <c r="AU17" i="29"/>
  <c r="AU14" i="29"/>
  <c r="AU13" i="29"/>
  <c r="AU10" i="29"/>
  <c r="AU26" i="29"/>
  <c r="AU25" i="29"/>
  <c r="AU11" i="29"/>
  <c r="AU7" i="29"/>
  <c r="AU21" i="29"/>
  <c r="AU22" i="29"/>
  <c r="AU15" i="29"/>
  <c r="AU8" i="29"/>
  <c r="AU9" i="29"/>
  <c r="AU12" i="29"/>
  <c r="AU29" i="29"/>
  <c r="B27" i="31"/>
  <c r="AU23" i="31"/>
  <c r="AU21" i="31"/>
  <c r="AU17" i="31"/>
  <c r="AU12" i="31"/>
  <c r="AU14" i="31"/>
  <c r="AU9" i="31"/>
  <c r="AU25" i="31"/>
  <c r="AU26" i="31"/>
  <c r="AU27" i="31"/>
  <c r="AU18" i="31"/>
  <c r="AU15" i="31"/>
  <c r="AU10" i="31"/>
  <c r="AU8" i="31"/>
  <c r="AU28" i="31"/>
  <c r="AU20" i="31"/>
  <c r="AU11" i="31"/>
  <c r="AU30" i="31"/>
  <c r="AU24" i="31"/>
  <c r="AU29" i="31"/>
  <c r="AU19" i="31"/>
  <c r="AU7" i="31"/>
  <c r="AU6" i="31"/>
  <c r="AU22" i="31"/>
  <c r="AU16" i="31"/>
  <c r="AU13" i="31"/>
  <c r="E11" i="26"/>
  <c r="C4" i="30"/>
  <c r="C4" i="32"/>
  <c r="C4" i="31"/>
  <c r="C4" i="29"/>
  <c r="C4" i="28"/>
  <c r="F11" i="26"/>
  <c r="D4" i="32"/>
  <c r="D4" i="31"/>
  <c r="D4" i="29"/>
  <c r="D4" i="28"/>
  <c r="D4" i="30"/>
  <c r="E13" i="26"/>
  <c r="C5" i="32"/>
  <c r="C5" i="31"/>
  <c r="C5" i="29"/>
  <c r="C5" i="28"/>
  <c r="C5" i="30"/>
  <c r="F14" i="26"/>
  <c r="D6" i="30"/>
  <c r="D6" i="32"/>
  <c r="D6" i="31"/>
  <c r="D6" i="29"/>
  <c r="D6" i="28"/>
  <c r="E16" i="31"/>
  <c r="AU28" i="30"/>
  <c r="AU25" i="30"/>
  <c r="AU21" i="30"/>
  <c r="AU18" i="30"/>
  <c r="AU15" i="30"/>
  <c r="AU13" i="30"/>
  <c r="AU7" i="30"/>
  <c r="AU29" i="30"/>
  <c r="AU26" i="30"/>
  <c r="AU23" i="30"/>
  <c r="AU19" i="30"/>
  <c r="AU20" i="30"/>
  <c r="AU14" i="30"/>
  <c r="AU9" i="30"/>
  <c r="AU22" i="30"/>
  <c r="AU6" i="30"/>
  <c r="AU27" i="30"/>
  <c r="AU24" i="30"/>
  <c r="AU16" i="30"/>
  <c r="AU11" i="30"/>
  <c r="AU8" i="30"/>
  <c r="AU17" i="30"/>
  <c r="AU30" i="30"/>
  <c r="AU10" i="30"/>
  <c r="AU12" i="30"/>
  <c r="B27" i="30"/>
  <c r="AM24" i="32"/>
  <c r="L25" i="32"/>
  <c r="AM24" i="31"/>
  <c r="L25" i="31"/>
  <c r="L24" i="30"/>
  <c r="AM23" i="30"/>
  <c r="AM24" i="29"/>
  <c r="L25" i="29"/>
  <c r="L25" i="28"/>
  <c r="AM24" i="28"/>
  <c r="C5" i="15"/>
  <c r="F16" i="26"/>
  <c r="G16" i="26"/>
  <c r="E37" i="6"/>
  <c r="H16" i="26"/>
  <c r="E16" i="15"/>
  <c r="D4" i="15"/>
  <c r="D5" i="15"/>
  <c r="C6" i="15"/>
  <c r="C7" i="15"/>
  <c r="D7" i="15"/>
  <c r="D6" i="15"/>
  <c r="AS18" i="15"/>
  <c r="AS13" i="15"/>
  <c r="AS17" i="15"/>
  <c r="AS22" i="15"/>
  <c r="AS8" i="15"/>
  <c r="AR22" i="15"/>
  <c r="AS19" i="15"/>
  <c r="AS7" i="15"/>
  <c r="AS24" i="15"/>
  <c r="AS15" i="15"/>
  <c r="AS29" i="15"/>
  <c r="AS20" i="15"/>
  <c r="AS27" i="15"/>
  <c r="AS11" i="15"/>
  <c r="AS14" i="15"/>
  <c r="AS25" i="15"/>
  <c r="AS9" i="15"/>
  <c r="AS16" i="15"/>
  <c r="AS23" i="15"/>
  <c r="AS26" i="15"/>
  <c r="AS10" i="15"/>
  <c r="AS21" i="15"/>
  <c r="AS28" i="15"/>
  <c r="AS12" i="15"/>
  <c r="AR7" i="15"/>
  <c r="AR8" i="15"/>
  <c r="AR17" i="15"/>
  <c r="AR28" i="15"/>
  <c r="AR15" i="15"/>
  <c r="AR20" i="15"/>
  <c r="AR27" i="15"/>
  <c r="AR11" i="15"/>
  <c r="AR18" i="15"/>
  <c r="AR29" i="15"/>
  <c r="AR13" i="15"/>
  <c r="AR16" i="15"/>
  <c r="AR23" i="15"/>
  <c r="AR24" i="15"/>
  <c r="AR14" i="15"/>
  <c r="AR25" i="15"/>
  <c r="AR9" i="15"/>
  <c r="AR12" i="15"/>
  <c r="AR19" i="15"/>
  <c r="AR26" i="15"/>
  <c r="AR10" i="15"/>
  <c r="AR21" i="15"/>
  <c r="AU30" i="15"/>
  <c r="AU7" i="15"/>
  <c r="AU11" i="15"/>
  <c r="AU15" i="15"/>
  <c r="AU19" i="15"/>
  <c r="AU23" i="15"/>
  <c r="AU27" i="15"/>
  <c r="AU8" i="15"/>
  <c r="AU12" i="15"/>
  <c r="AU16" i="15"/>
  <c r="AU20" i="15"/>
  <c r="AU24" i="15"/>
  <c r="AU28" i="15"/>
  <c r="AU9" i="15"/>
  <c r="AU13" i="15"/>
  <c r="AU17" i="15"/>
  <c r="AU21" i="15"/>
  <c r="AU25" i="15"/>
  <c r="AU29" i="15"/>
  <c r="AU10" i="15"/>
  <c r="AU14" i="15"/>
  <c r="AU18" i="15"/>
  <c r="AU22" i="15"/>
  <c r="AU26" i="15"/>
  <c r="AU6" i="15"/>
  <c r="F16" i="28" l="1"/>
  <c r="F27" i="28" s="1"/>
  <c r="C27" i="28" s="1"/>
  <c r="F16" i="29"/>
  <c r="C16" i="29" s="1"/>
  <c r="F16" i="15"/>
  <c r="F27" i="15" s="1"/>
  <c r="C27" i="15" s="1"/>
  <c r="F16" i="32"/>
  <c r="C16" i="32" s="1"/>
  <c r="F16" i="30"/>
  <c r="C16" i="30" s="1"/>
  <c r="E27" i="28"/>
  <c r="D27" i="28" s="1"/>
  <c r="E27" i="30"/>
  <c r="D27" i="30" s="1"/>
  <c r="E27" i="29"/>
  <c r="D27" i="29" s="1"/>
  <c r="E27" i="31"/>
  <c r="D27" i="31" s="1"/>
  <c r="D16" i="31"/>
  <c r="AW28" i="30"/>
  <c r="AW24" i="30"/>
  <c r="AW20" i="30"/>
  <c r="AW16" i="30"/>
  <c r="AW10" i="30"/>
  <c r="AW6" i="30"/>
  <c r="AW26" i="30"/>
  <c r="AW27" i="30"/>
  <c r="AW25" i="30"/>
  <c r="AW22" i="30"/>
  <c r="AW17" i="30"/>
  <c r="AW13" i="30"/>
  <c r="AW7" i="30"/>
  <c r="AW8" i="30"/>
  <c r="AW29" i="30"/>
  <c r="AW19" i="30"/>
  <c r="AW14" i="30"/>
  <c r="AW30" i="30"/>
  <c r="AW21" i="30"/>
  <c r="AW18" i="30"/>
  <c r="AW15" i="30"/>
  <c r="AW9" i="30"/>
  <c r="AW11" i="30"/>
  <c r="AW23" i="30"/>
  <c r="AW12" i="30"/>
  <c r="C16" i="28"/>
  <c r="C16" i="31"/>
  <c r="F27" i="31"/>
  <c r="C27" i="31" s="1"/>
  <c r="AW30" i="28"/>
  <c r="AW23" i="28"/>
  <c r="AW16" i="28"/>
  <c r="AW14" i="28"/>
  <c r="AW17" i="28"/>
  <c r="AW10" i="28"/>
  <c r="AW29" i="28"/>
  <c r="AW24" i="28"/>
  <c r="AW26" i="28"/>
  <c r="AW8" i="28"/>
  <c r="AW13" i="28"/>
  <c r="AW7" i="28"/>
  <c r="AW28" i="28"/>
  <c r="AW22" i="28"/>
  <c r="AW21" i="28"/>
  <c r="AW6" i="28"/>
  <c r="AW9" i="28"/>
  <c r="AW11" i="28"/>
  <c r="AW18" i="28"/>
  <c r="AW27" i="28"/>
  <c r="AW20" i="28"/>
  <c r="AW19" i="28"/>
  <c r="AW25" i="28"/>
  <c r="AW12" i="28"/>
  <c r="AW15" i="28"/>
  <c r="AW30" i="29"/>
  <c r="AW25" i="29"/>
  <c r="AW21" i="29"/>
  <c r="AW13" i="29"/>
  <c r="AW10" i="29"/>
  <c r="AW11" i="29"/>
  <c r="AW26" i="29"/>
  <c r="AW15" i="29"/>
  <c r="AW29" i="29"/>
  <c r="AW23" i="29"/>
  <c r="AW20" i="29"/>
  <c r="AW9" i="29"/>
  <c r="AW7" i="29"/>
  <c r="AW14" i="29"/>
  <c r="AW27" i="29"/>
  <c r="AW19" i="29"/>
  <c r="AW6" i="29"/>
  <c r="AW28" i="29"/>
  <c r="AW24" i="29"/>
  <c r="AW17" i="29"/>
  <c r="AW18" i="29"/>
  <c r="AW16" i="29"/>
  <c r="AW8" i="29"/>
  <c r="AW22" i="29"/>
  <c r="AW12" i="29"/>
  <c r="D16" i="32"/>
  <c r="E27" i="32"/>
  <c r="D27" i="32" s="1"/>
  <c r="L26" i="32"/>
  <c r="AM25" i="32"/>
  <c r="AM25" i="31"/>
  <c r="L26" i="31"/>
  <c r="L25" i="30"/>
  <c r="AM24" i="30"/>
  <c r="L26" i="29"/>
  <c r="AM25" i="29"/>
  <c r="L26" i="28"/>
  <c r="AM25" i="28"/>
  <c r="D19" i="15"/>
  <c r="F36" i="26"/>
  <c r="E16" i="26"/>
  <c r="E27" i="15"/>
  <c r="D27" i="15" s="1"/>
  <c r="D16" i="15"/>
  <c r="AW30" i="15" s="1"/>
  <c r="C19" i="15"/>
  <c r="AO6" i="15"/>
  <c r="AQ6" i="15"/>
  <c r="AP6" i="15"/>
  <c r="F27" i="32" l="1"/>
  <c r="C27" i="32" s="1"/>
  <c r="F27" i="29"/>
  <c r="C27" i="29" s="1"/>
  <c r="F27" i="30"/>
  <c r="C27" i="30" s="1"/>
  <c r="C16" i="15"/>
  <c r="AV27" i="30"/>
  <c r="AV22" i="30"/>
  <c r="AV18" i="30"/>
  <c r="AV15" i="30"/>
  <c r="AV11" i="30"/>
  <c r="AV12" i="30"/>
  <c r="AV28" i="30"/>
  <c r="AV9" i="30"/>
  <c r="AV30" i="30"/>
  <c r="AV21" i="30"/>
  <c r="AV23" i="30"/>
  <c r="AV14" i="30"/>
  <c r="AV19" i="30"/>
  <c r="AV10" i="30"/>
  <c r="AV24" i="30"/>
  <c r="AV17" i="30"/>
  <c r="AV29" i="30"/>
  <c r="AV25" i="30"/>
  <c r="AV20" i="30"/>
  <c r="AV8" i="30"/>
  <c r="AV13" i="30"/>
  <c r="AV7" i="30"/>
  <c r="AV26" i="30"/>
  <c r="AV6" i="30"/>
  <c r="AV16" i="30"/>
  <c r="AV30" i="32"/>
  <c r="AV24" i="32"/>
  <c r="AV15" i="32"/>
  <c r="AV21" i="32"/>
  <c r="AV11" i="32"/>
  <c r="AV6" i="32"/>
  <c r="AV17" i="32"/>
  <c r="AV29" i="32"/>
  <c r="AV22" i="32"/>
  <c r="AV19" i="32"/>
  <c r="AV12" i="32"/>
  <c r="AV18" i="32"/>
  <c r="AV13" i="32"/>
  <c r="AV23" i="32"/>
  <c r="AV28" i="32"/>
  <c r="AV8" i="32"/>
  <c r="AV26" i="32"/>
  <c r="AV25" i="32"/>
  <c r="AV20" i="32"/>
  <c r="AV16" i="32"/>
  <c r="AV10" i="32"/>
  <c r="AV14" i="32"/>
  <c r="AV9" i="32"/>
  <c r="AV27" i="32"/>
  <c r="AV7" i="32"/>
  <c r="AV27" i="28"/>
  <c r="AV25" i="28"/>
  <c r="AV28" i="28"/>
  <c r="AV11" i="28"/>
  <c r="AV8" i="28"/>
  <c r="AV9" i="28"/>
  <c r="AV30" i="28"/>
  <c r="AV23" i="28"/>
  <c r="AV19" i="28"/>
  <c r="AV22" i="28"/>
  <c r="AV6" i="28"/>
  <c r="AV12" i="28"/>
  <c r="AV29" i="28"/>
  <c r="AV20" i="28"/>
  <c r="AV24" i="28"/>
  <c r="AV18" i="28"/>
  <c r="AV16" i="28"/>
  <c r="AV10" i="28"/>
  <c r="AV21" i="28"/>
  <c r="AV13" i="28"/>
  <c r="AV17" i="28"/>
  <c r="AV7" i="28"/>
  <c r="AV26" i="28"/>
  <c r="AV15" i="28"/>
  <c r="AV14" i="28"/>
  <c r="AW26" i="32"/>
  <c r="AW16" i="32"/>
  <c r="AW21" i="32"/>
  <c r="AW11" i="32"/>
  <c r="AW20" i="32"/>
  <c r="AW7" i="32"/>
  <c r="AW27" i="32"/>
  <c r="AW24" i="32"/>
  <c r="AW28" i="32"/>
  <c r="AW18" i="32"/>
  <c r="AW14" i="32"/>
  <c r="AW13" i="32"/>
  <c r="AW10" i="32"/>
  <c r="AW29" i="32"/>
  <c r="AW23" i="32"/>
  <c r="AW6" i="32"/>
  <c r="AW30" i="32"/>
  <c r="AW22" i="32"/>
  <c r="AW25" i="32"/>
  <c r="AW17" i="32"/>
  <c r="AW8" i="32"/>
  <c r="AW9" i="32"/>
  <c r="AW19" i="32"/>
  <c r="AW15" i="32"/>
  <c r="AW12" i="32"/>
  <c r="AW29" i="31"/>
  <c r="AW23" i="31"/>
  <c r="AW17" i="31"/>
  <c r="AW8" i="31"/>
  <c r="AW13" i="31"/>
  <c r="AW7" i="31"/>
  <c r="AW28" i="31"/>
  <c r="AW24" i="31"/>
  <c r="AW19" i="31"/>
  <c r="AW6" i="31"/>
  <c r="AW9" i="31"/>
  <c r="AW15" i="31"/>
  <c r="AW30" i="31"/>
  <c r="AW14" i="31"/>
  <c r="AW10" i="31"/>
  <c r="AW27" i="31"/>
  <c r="AW26" i="31"/>
  <c r="AW22" i="31"/>
  <c r="AW16" i="31"/>
  <c r="AW21" i="31"/>
  <c r="AW12" i="31"/>
  <c r="AW11" i="31"/>
  <c r="AW25" i="31"/>
  <c r="AW20" i="31"/>
  <c r="AW18" i="31"/>
  <c r="AV29" i="31"/>
  <c r="AV24" i="31"/>
  <c r="AV28" i="31"/>
  <c r="AV19" i="31"/>
  <c r="AV8" i="31"/>
  <c r="AV10" i="31"/>
  <c r="AV26" i="31"/>
  <c r="AV22" i="31"/>
  <c r="AV20" i="31"/>
  <c r="AV16" i="31"/>
  <c r="AV6" i="31"/>
  <c r="AV7" i="31"/>
  <c r="AV30" i="31"/>
  <c r="AV23" i="31"/>
  <c r="AV18" i="31"/>
  <c r="AV14" i="31"/>
  <c r="AV27" i="31"/>
  <c r="AV25" i="31"/>
  <c r="AV21" i="31"/>
  <c r="AV17" i="31"/>
  <c r="AV11" i="31"/>
  <c r="AV13" i="31"/>
  <c r="AV12" i="31"/>
  <c r="AV15" i="31"/>
  <c r="AV9" i="31"/>
  <c r="AV26" i="29"/>
  <c r="AV22" i="29"/>
  <c r="AV20" i="29"/>
  <c r="AV8" i="29"/>
  <c r="AV17" i="29"/>
  <c r="AV11" i="29"/>
  <c r="AV28" i="29"/>
  <c r="AV27" i="29"/>
  <c r="AV25" i="29"/>
  <c r="AV21" i="29"/>
  <c r="AV19" i="29"/>
  <c r="AV6" i="29"/>
  <c r="AV12" i="29"/>
  <c r="AV15" i="29"/>
  <c r="AV24" i="29"/>
  <c r="AV30" i="29"/>
  <c r="AV23" i="29"/>
  <c r="AV18" i="29"/>
  <c r="AV16" i="29"/>
  <c r="AV13" i="29"/>
  <c r="AV10" i="29"/>
  <c r="AV29" i="29"/>
  <c r="AV7" i="29"/>
  <c r="AV9" i="29"/>
  <c r="AV14" i="29"/>
  <c r="AM26" i="32"/>
  <c r="L27" i="32"/>
  <c r="L27" i="31"/>
  <c r="AM26" i="31"/>
  <c r="L26" i="30"/>
  <c r="AM25" i="30"/>
  <c r="L27" i="29"/>
  <c r="AM26" i="29"/>
  <c r="L27" i="28"/>
  <c r="AM26" i="28"/>
  <c r="AW18" i="15"/>
  <c r="AW25" i="15"/>
  <c r="AW28" i="15"/>
  <c r="AW12" i="15"/>
  <c r="AW17" i="15"/>
  <c r="AW26" i="15"/>
  <c r="AW8" i="15"/>
  <c r="AW15" i="15"/>
  <c r="AW20" i="15"/>
  <c r="AW27" i="15"/>
  <c r="AW7" i="15"/>
  <c r="AW24" i="15"/>
  <c r="AW16" i="15"/>
  <c r="AW6" i="15"/>
  <c r="AW23" i="15"/>
  <c r="AW11" i="15"/>
  <c r="AW22" i="15"/>
  <c r="AW14" i="15"/>
  <c r="AW29" i="15"/>
  <c r="AW19" i="15"/>
  <c r="AW9" i="15"/>
  <c r="AW21" i="15"/>
  <c r="AW13" i="15"/>
  <c r="AW10" i="15"/>
  <c r="AP30" i="15"/>
  <c r="AP29" i="15"/>
  <c r="AP23" i="15"/>
  <c r="AP9" i="15"/>
  <c r="AP11" i="15"/>
  <c r="AP10" i="15"/>
  <c r="AP19" i="15"/>
  <c r="AP22" i="15"/>
  <c r="AP8" i="15"/>
  <c r="AP12" i="15"/>
  <c r="AP24" i="15"/>
  <c r="AP18" i="15"/>
  <c r="AP21" i="15"/>
  <c r="AP7" i="15"/>
  <c r="AP15" i="15"/>
  <c r="AP20" i="15"/>
  <c r="AP13" i="15"/>
  <c r="AP27" i="15"/>
  <c r="AP28" i="15"/>
  <c r="AP17" i="15"/>
  <c r="AP25" i="15"/>
  <c r="AP14" i="15"/>
  <c r="AP16" i="15"/>
  <c r="AP26" i="15"/>
  <c r="AQ30" i="15"/>
  <c r="AQ7" i="15"/>
  <c r="AQ12" i="15"/>
  <c r="AQ8" i="15"/>
  <c r="AQ13" i="15"/>
  <c r="AQ22" i="15"/>
  <c r="AQ18" i="15"/>
  <c r="AQ14" i="15"/>
  <c r="AQ24" i="15"/>
  <c r="AQ19" i="15"/>
  <c r="AQ28" i="15"/>
  <c r="AQ16" i="15"/>
  <c r="AQ11" i="15"/>
  <c r="AQ23" i="15"/>
  <c r="AQ20" i="15"/>
  <c r="AQ21" i="15"/>
  <c r="AQ9" i="15"/>
  <c r="AQ27" i="15"/>
  <c r="AQ15" i="15"/>
  <c r="AQ17" i="15"/>
  <c r="AQ26" i="15"/>
  <c r="AQ29" i="15"/>
  <c r="AQ25" i="15"/>
  <c r="AQ10" i="15"/>
  <c r="AO9" i="15"/>
  <c r="AO23" i="15"/>
  <c r="AO29" i="15"/>
  <c r="AO24" i="15"/>
  <c r="AO15" i="15"/>
  <c r="AO10" i="15"/>
  <c r="AO22" i="15"/>
  <c r="AO25" i="15"/>
  <c r="AO26" i="15"/>
  <c r="AO18" i="15"/>
  <c r="AO17" i="15"/>
  <c r="AO12" i="15"/>
  <c r="AO19" i="15"/>
  <c r="AO30" i="15"/>
  <c r="AO14" i="15"/>
  <c r="AO20" i="15"/>
  <c r="AO11" i="15"/>
  <c r="AO27" i="15"/>
  <c r="AO28" i="15"/>
  <c r="AO16" i="15"/>
  <c r="AO7" i="15"/>
  <c r="AO13" i="15"/>
  <c r="AO8" i="15"/>
  <c r="AO21" i="15"/>
  <c r="AX15" i="29" l="1"/>
  <c r="AY15" i="29"/>
  <c r="AX22" i="29"/>
  <c r="AY22" i="29"/>
  <c r="AX21" i="31"/>
  <c r="AY21" i="31"/>
  <c r="AX6" i="31"/>
  <c r="AY6" i="31"/>
  <c r="AY10" i="28"/>
  <c r="AX10" i="28"/>
  <c r="AY22" i="28"/>
  <c r="AX22" i="28"/>
  <c r="AY9" i="32"/>
  <c r="AX9" i="32"/>
  <c r="AY28" i="32"/>
  <c r="AX28" i="32"/>
  <c r="AY15" i="32"/>
  <c r="AX15" i="32"/>
  <c r="AY8" i="30"/>
  <c r="AX8" i="30"/>
  <c r="AX15" i="30"/>
  <c r="AY15" i="30"/>
  <c r="AX14" i="29"/>
  <c r="AY14" i="29"/>
  <c r="AY10" i="29"/>
  <c r="AX10" i="29"/>
  <c r="AX23" i="29"/>
  <c r="AY23" i="29"/>
  <c r="AY12" i="29"/>
  <c r="AX12" i="29"/>
  <c r="AY25" i="29"/>
  <c r="AX25" i="29"/>
  <c r="AX17" i="29"/>
  <c r="AY17" i="29"/>
  <c r="AY26" i="29"/>
  <c r="AX26" i="29"/>
  <c r="AY13" i="31"/>
  <c r="AX13" i="31"/>
  <c r="AX25" i="31"/>
  <c r="AY25" i="31"/>
  <c r="AX23" i="31"/>
  <c r="AY23" i="31"/>
  <c r="AY16" i="31"/>
  <c r="AX16" i="31"/>
  <c r="AY10" i="31"/>
  <c r="AX10" i="31"/>
  <c r="AY24" i="31"/>
  <c r="AX24" i="31"/>
  <c r="AY14" i="28"/>
  <c r="AX14" i="28"/>
  <c r="AX17" i="28"/>
  <c r="AY17" i="28"/>
  <c r="AY16" i="28"/>
  <c r="AX16" i="28"/>
  <c r="AX29" i="28"/>
  <c r="AY29" i="28"/>
  <c r="AY19" i="28"/>
  <c r="AX19" i="28"/>
  <c r="AY8" i="28"/>
  <c r="AX8" i="28"/>
  <c r="AY27" i="28"/>
  <c r="AX27" i="28"/>
  <c r="AX14" i="32"/>
  <c r="AY14" i="32"/>
  <c r="AY25" i="32"/>
  <c r="AX25" i="32"/>
  <c r="AY23" i="32"/>
  <c r="AX23" i="32"/>
  <c r="AY19" i="32"/>
  <c r="AX19" i="32"/>
  <c r="AX6" i="32"/>
  <c r="AY6" i="32"/>
  <c r="AY24" i="32"/>
  <c r="AX24" i="32"/>
  <c r="AX26" i="30"/>
  <c r="AY26" i="30"/>
  <c r="AX20" i="30"/>
  <c r="AY20" i="30"/>
  <c r="AY24" i="30"/>
  <c r="AX24" i="30"/>
  <c r="AY23" i="30"/>
  <c r="AX23" i="30"/>
  <c r="AX28" i="30"/>
  <c r="AY28" i="30"/>
  <c r="AX18" i="30"/>
  <c r="AY18" i="30"/>
  <c r="AX29" i="29"/>
  <c r="AY29" i="29"/>
  <c r="AY21" i="29"/>
  <c r="AX21" i="29"/>
  <c r="AY12" i="31"/>
  <c r="AX12" i="31"/>
  <c r="AY26" i="31"/>
  <c r="AX26" i="31"/>
  <c r="AY7" i="28"/>
  <c r="AX7" i="28"/>
  <c r="AY20" i="28"/>
  <c r="AX20" i="28"/>
  <c r="AX25" i="28"/>
  <c r="AY25" i="28"/>
  <c r="AX20" i="32"/>
  <c r="AY20" i="32"/>
  <c r="AY17" i="32"/>
  <c r="AX17" i="32"/>
  <c r="AX17" i="30"/>
  <c r="AY17" i="30"/>
  <c r="AY9" i="30"/>
  <c r="AX9" i="30"/>
  <c r="AY9" i="29"/>
  <c r="AX9" i="29"/>
  <c r="AY13" i="29"/>
  <c r="AX13" i="29"/>
  <c r="AX30" i="29"/>
  <c r="AY30" i="29"/>
  <c r="AY6" i="29"/>
  <c r="AX6" i="29"/>
  <c r="AX27" i="29"/>
  <c r="AY27" i="29"/>
  <c r="AY8" i="29"/>
  <c r="AX8" i="29"/>
  <c r="AX9" i="31"/>
  <c r="AY9" i="31"/>
  <c r="AY11" i="31"/>
  <c r="AX11" i="31"/>
  <c r="AY27" i="31"/>
  <c r="AX27" i="31"/>
  <c r="AX30" i="31"/>
  <c r="AY30" i="31"/>
  <c r="AY20" i="31"/>
  <c r="AX20" i="31"/>
  <c r="AY8" i="31"/>
  <c r="AX8" i="31"/>
  <c r="AX29" i="31"/>
  <c r="AY29" i="31"/>
  <c r="AY15" i="28"/>
  <c r="AX15" i="28"/>
  <c r="AX13" i="28"/>
  <c r="AY13" i="28"/>
  <c r="AY18" i="28"/>
  <c r="AX18" i="28"/>
  <c r="AY12" i="28"/>
  <c r="AX12" i="28"/>
  <c r="AX23" i="28"/>
  <c r="AY23" i="28"/>
  <c r="AX11" i="28"/>
  <c r="AY11" i="28"/>
  <c r="AY7" i="32"/>
  <c r="AX7" i="32"/>
  <c r="AY10" i="32"/>
  <c r="AX10" i="32"/>
  <c r="AY26" i="32"/>
  <c r="AX26" i="32"/>
  <c r="AY13" i="32"/>
  <c r="AX13" i="32"/>
  <c r="AY22" i="32"/>
  <c r="AX22" i="32"/>
  <c r="AY11" i="32"/>
  <c r="AX11" i="32"/>
  <c r="AX30" i="32"/>
  <c r="AY30" i="32"/>
  <c r="AX7" i="30"/>
  <c r="AY7" i="30"/>
  <c r="AY25" i="30"/>
  <c r="AX25" i="30"/>
  <c r="AX10" i="30"/>
  <c r="AY10" i="30"/>
  <c r="AY21" i="30"/>
  <c r="AX21" i="30"/>
  <c r="AX12" i="30"/>
  <c r="AY12" i="30"/>
  <c r="AY22" i="30"/>
  <c r="AX22" i="30"/>
  <c r="AX18" i="29"/>
  <c r="AY18" i="29"/>
  <c r="AY11" i="29"/>
  <c r="AX11" i="29"/>
  <c r="AY18" i="31"/>
  <c r="AX18" i="31"/>
  <c r="AY28" i="31"/>
  <c r="AX28" i="31"/>
  <c r="AX9" i="28"/>
  <c r="AY9" i="28"/>
  <c r="AY12" i="32"/>
  <c r="AX12" i="32"/>
  <c r="AY6" i="30"/>
  <c r="AX6" i="30"/>
  <c r="AY14" i="30"/>
  <c r="AX14" i="30"/>
  <c r="AX7" i="29"/>
  <c r="AY7" i="29"/>
  <c r="AX16" i="29"/>
  <c r="AY16" i="29"/>
  <c r="AX24" i="29"/>
  <c r="AY24" i="29"/>
  <c r="AX19" i="29"/>
  <c r="AY19" i="29"/>
  <c r="AX28" i="29"/>
  <c r="AY28" i="29"/>
  <c r="AX20" i="29"/>
  <c r="AY20" i="29"/>
  <c r="AY15" i="31"/>
  <c r="AX15" i="31"/>
  <c r="AY17" i="31"/>
  <c r="AX17" i="31"/>
  <c r="AY14" i="31"/>
  <c r="AX14" i="31"/>
  <c r="AY7" i="31"/>
  <c r="AX7" i="31"/>
  <c r="AX22" i="31"/>
  <c r="AY22" i="31"/>
  <c r="AY19" i="31"/>
  <c r="AX19" i="31"/>
  <c r="AY26" i="28"/>
  <c r="AX26" i="28"/>
  <c r="AX21" i="28"/>
  <c r="AY21" i="28"/>
  <c r="AY24" i="28"/>
  <c r="AX24" i="28"/>
  <c r="AY6" i="28"/>
  <c r="AX6" i="28"/>
  <c r="AX30" i="28"/>
  <c r="AY30" i="28"/>
  <c r="AY28" i="28"/>
  <c r="AX28" i="28"/>
  <c r="AX27" i="32"/>
  <c r="AY27" i="32"/>
  <c r="AX16" i="32"/>
  <c r="AY16" i="32"/>
  <c r="AX8" i="32"/>
  <c r="AY8" i="32"/>
  <c r="AY18" i="32"/>
  <c r="AX18" i="32"/>
  <c r="AX29" i="32"/>
  <c r="AY29" i="32"/>
  <c r="AY21" i="32"/>
  <c r="AX21" i="32"/>
  <c r="AX16" i="30"/>
  <c r="AY16" i="30"/>
  <c r="AX13" i="30"/>
  <c r="AY13" i="30"/>
  <c r="AY29" i="30"/>
  <c r="AX29" i="30"/>
  <c r="AY19" i="30"/>
  <c r="AX19" i="30"/>
  <c r="AY30" i="30"/>
  <c r="AX30" i="30"/>
  <c r="AY11" i="30"/>
  <c r="AX11" i="30"/>
  <c r="AX27" i="30"/>
  <c r="AY27" i="30"/>
  <c r="AM27" i="32"/>
  <c r="L28" i="32"/>
  <c r="AM27" i="31"/>
  <c r="L28" i="31"/>
  <c r="L27" i="30"/>
  <c r="AM26" i="30"/>
  <c r="AM27" i="29"/>
  <c r="L28" i="29"/>
  <c r="AM27" i="28"/>
  <c r="L28" i="28"/>
  <c r="C4" i="15"/>
  <c r="BB26" i="31" l="1"/>
  <c r="BC26" i="31" s="1"/>
  <c r="BF26" i="31" s="1"/>
  <c r="BI26" i="31" s="1"/>
  <c r="BA26" i="31"/>
  <c r="BD26" i="31" s="1"/>
  <c r="BG26" i="31" s="1"/>
  <c r="BH26" i="31" s="1"/>
  <c r="BO26" i="31" s="1"/>
  <c r="BA26" i="29"/>
  <c r="BD26" i="29" s="1"/>
  <c r="BG26" i="29" s="1"/>
  <c r="BH26" i="29" s="1"/>
  <c r="BO26" i="29" s="1"/>
  <c r="BA25" i="30"/>
  <c r="BD25" i="30" s="1"/>
  <c r="BG25" i="30" s="1"/>
  <c r="BH25" i="30" s="1"/>
  <c r="BO25" i="30" s="1"/>
  <c r="BA26" i="32"/>
  <c r="BD26" i="32" s="1"/>
  <c r="BG26" i="32" s="1"/>
  <c r="BH26" i="32" s="1"/>
  <c r="BS26" i="31"/>
  <c r="BB26" i="28"/>
  <c r="BC26" i="28" s="1"/>
  <c r="BF26" i="28" s="1"/>
  <c r="BA26" i="28"/>
  <c r="BD26" i="28" s="1"/>
  <c r="BG26" i="28" s="1"/>
  <c r="BH26" i="28" s="1"/>
  <c r="BB26" i="32"/>
  <c r="BC26" i="32" s="1"/>
  <c r="BF26" i="32" s="1"/>
  <c r="BB25" i="30"/>
  <c r="BC25" i="30" s="1"/>
  <c r="BF25" i="30" s="1"/>
  <c r="BB26" i="29"/>
  <c r="BC26" i="29" s="1"/>
  <c r="BF26" i="29" s="1"/>
  <c r="BB13" i="30"/>
  <c r="BC13" i="30" s="1"/>
  <c r="BF13" i="30" s="1"/>
  <c r="BA13" i="30"/>
  <c r="BD13" i="30" s="1"/>
  <c r="BG13" i="30" s="1"/>
  <c r="BH13" i="30" s="1"/>
  <c r="BO13" i="30" s="1"/>
  <c r="BA20" i="29"/>
  <c r="BD20" i="29" s="1"/>
  <c r="BG20" i="29" s="1"/>
  <c r="BH20" i="29" s="1"/>
  <c r="BO20" i="29" s="1"/>
  <c r="BB20" i="29"/>
  <c r="BC20" i="29" s="1"/>
  <c r="BF20" i="29" s="1"/>
  <c r="BB6" i="32"/>
  <c r="BC6" i="32" s="1"/>
  <c r="BF6" i="32" s="1"/>
  <c r="BA6" i="32"/>
  <c r="BD6" i="32" s="1"/>
  <c r="BG6" i="32" s="1"/>
  <c r="BB17" i="28"/>
  <c r="BC17" i="28" s="1"/>
  <c r="BF17" i="28" s="1"/>
  <c r="BA17" i="28"/>
  <c r="BD17" i="28" s="1"/>
  <c r="BG17" i="28" s="1"/>
  <c r="BH17" i="28" s="1"/>
  <c r="BO17" i="28" s="1"/>
  <c r="BA25" i="31"/>
  <c r="BD25" i="31" s="1"/>
  <c r="BG25" i="31" s="1"/>
  <c r="BH25" i="31" s="1"/>
  <c r="BO25" i="31" s="1"/>
  <c r="BB25" i="31"/>
  <c r="BC25" i="31" s="1"/>
  <c r="BF25" i="31" s="1"/>
  <c r="BA23" i="29"/>
  <c r="BD23" i="29" s="1"/>
  <c r="BG23" i="29" s="1"/>
  <c r="BH23" i="29" s="1"/>
  <c r="BO23" i="29" s="1"/>
  <c r="BB23" i="29"/>
  <c r="BC23" i="29" s="1"/>
  <c r="BF23" i="29" s="1"/>
  <c r="BA22" i="29"/>
  <c r="BD22" i="29" s="1"/>
  <c r="BG22" i="29" s="1"/>
  <c r="BH22" i="29" s="1"/>
  <c r="BO22" i="29" s="1"/>
  <c r="BB22" i="29"/>
  <c r="BC22" i="29" s="1"/>
  <c r="BF22" i="29" s="1"/>
  <c r="BB11" i="30"/>
  <c r="BC11" i="30" s="1"/>
  <c r="BF11" i="30" s="1"/>
  <c r="BA11" i="30"/>
  <c r="BD11" i="30" s="1"/>
  <c r="BG11" i="30" s="1"/>
  <c r="BH11" i="30" s="1"/>
  <c r="BO11" i="30" s="1"/>
  <c r="BA19" i="30"/>
  <c r="BD19" i="30" s="1"/>
  <c r="BG19" i="30" s="1"/>
  <c r="BH19" i="30" s="1"/>
  <c r="BO19" i="30" s="1"/>
  <c r="BB19" i="30"/>
  <c r="BC19" i="30" s="1"/>
  <c r="BF19" i="30" s="1"/>
  <c r="BA21" i="32"/>
  <c r="BD21" i="32" s="1"/>
  <c r="BG21" i="32" s="1"/>
  <c r="BH21" i="32" s="1"/>
  <c r="BO21" i="32" s="1"/>
  <c r="BB21" i="32"/>
  <c r="BC21" i="32" s="1"/>
  <c r="BF21" i="32" s="1"/>
  <c r="BB18" i="32"/>
  <c r="BC18" i="32" s="1"/>
  <c r="BF18" i="32" s="1"/>
  <c r="BA18" i="32"/>
  <c r="BD18" i="32" s="1"/>
  <c r="BG18" i="32" s="1"/>
  <c r="BH18" i="32" s="1"/>
  <c r="BO18" i="32" s="1"/>
  <c r="BB6" i="28"/>
  <c r="BC6" i="28" s="1"/>
  <c r="BF6" i="28" s="1"/>
  <c r="BA6" i="28"/>
  <c r="BD6" i="28" s="1"/>
  <c r="BG6" i="28" s="1"/>
  <c r="BB19" i="31"/>
  <c r="BC19" i="31" s="1"/>
  <c r="BF19" i="31" s="1"/>
  <c r="BA19" i="31"/>
  <c r="BD19" i="31" s="1"/>
  <c r="BG19" i="31" s="1"/>
  <c r="BH19" i="31" s="1"/>
  <c r="BO19" i="31" s="1"/>
  <c r="BB7" i="31"/>
  <c r="BC7" i="31" s="1"/>
  <c r="BF7" i="31" s="1"/>
  <c r="BA7" i="31"/>
  <c r="BD7" i="31" s="1"/>
  <c r="BG7" i="31" s="1"/>
  <c r="BH7" i="31" s="1"/>
  <c r="BO7" i="31" s="1"/>
  <c r="BB17" i="31"/>
  <c r="BC17" i="31" s="1"/>
  <c r="BF17" i="31" s="1"/>
  <c r="BA17" i="31"/>
  <c r="BD17" i="31" s="1"/>
  <c r="BG17" i="31" s="1"/>
  <c r="BH17" i="31" s="1"/>
  <c r="BO17" i="31" s="1"/>
  <c r="BB14" i="30"/>
  <c r="BC14" i="30" s="1"/>
  <c r="BF14" i="30" s="1"/>
  <c r="BA14" i="30"/>
  <c r="BD14" i="30" s="1"/>
  <c r="BG14" i="30" s="1"/>
  <c r="BH14" i="30" s="1"/>
  <c r="BO14" i="30" s="1"/>
  <c r="BB12" i="32"/>
  <c r="BC12" i="32" s="1"/>
  <c r="BF12" i="32" s="1"/>
  <c r="BA12" i="32"/>
  <c r="BD12" i="32" s="1"/>
  <c r="BG12" i="32" s="1"/>
  <c r="BH12" i="32" s="1"/>
  <c r="BO12" i="32" s="1"/>
  <c r="BA11" i="29"/>
  <c r="BD11" i="29" s="1"/>
  <c r="BG11" i="29" s="1"/>
  <c r="BH11" i="29" s="1"/>
  <c r="BO11" i="29" s="1"/>
  <c r="BB11" i="29"/>
  <c r="BC11" i="29" s="1"/>
  <c r="BF11" i="29" s="1"/>
  <c r="BA22" i="30"/>
  <c r="BD22" i="30" s="1"/>
  <c r="BG22" i="30" s="1"/>
  <c r="BH22" i="30" s="1"/>
  <c r="BO22" i="30" s="1"/>
  <c r="BB22" i="30"/>
  <c r="BC22" i="30" s="1"/>
  <c r="BF22" i="30" s="1"/>
  <c r="BB21" i="30"/>
  <c r="BC21" i="30" s="1"/>
  <c r="BF21" i="30" s="1"/>
  <c r="BA21" i="30"/>
  <c r="BD21" i="30" s="1"/>
  <c r="BG21" i="30" s="1"/>
  <c r="BH21" i="30" s="1"/>
  <c r="BO21" i="30" s="1"/>
  <c r="BB22" i="32"/>
  <c r="BC22" i="32" s="1"/>
  <c r="BF22" i="32" s="1"/>
  <c r="BA22" i="32"/>
  <c r="BD22" i="32" s="1"/>
  <c r="BG22" i="32" s="1"/>
  <c r="BH22" i="32" s="1"/>
  <c r="BO22" i="32" s="1"/>
  <c r="BB7" i="32"/>
  <c r="BC7" i="32" s="1"/>
  <c r="BF7" i="32" s="1"/>
  <c r="BA7" i="32"/>
  <c r="BD7" i="32" s="1"/>
  <c r="BG7" i="32" s="1"/>
  <c r="BH7" i="32" s="1"/>
  <c r="BO7" i="32" s="1"/>
  <c r="BB18" i="28"/>
  <c r="BC18" i="28" s="1"/>
  <c r="BF18" i="28" s="1"/>
  <c r="BA18" i="28"/>
  <c r="BD18" i="28" s="1"/>
  <c r="BG18" i="28" s="1"/>
  <c r="BH18" i="28" s="1"/>
  <c r="BO18" i="28" s="1"/>
  <c r="BA15" i="28"/>
  <c r="BD15" i="28" s="1"/>
  <c r="BG15" i="28" s="1"/>
  <c r="BH15" i="28" s="1"/>
  <c r="BO15" i="28" s="1"/>
  <c r="BB15" i="28"/>
  <c r="BC15" i="28" s="1"/>
  <c r="BF15" i="28" s="1"/>
  <c r="BA8" i="31"/>
  <c r="BD8" i="31" s="1"/>
  <c r="BG8" i="31" s="1"/>
  <c r="BH8" i="31" s="1"/>
  <c r="BO8" i="31" s="1"/>
  <c r="BB8" i="31"/>
  <c r="BC8" i="31" s="1"/>
  <c r="BF8" i="31" s="1"/>
  <c r="BA11" i="31"/>
  <c r="BD11" i="31" s="1"/>
  <c r="BG11" i="31" s="1"/>
  <c r="BH11" i="31" s="1"/>
  <c r="BO11" i="31" s="1"/>
  <c r="BB11" i="31"/>
  <c r="BC11" i="31" s="1"/>
  <c r="BF11" i="31" s="1"/>
  <c r="BA8" i="29"/>
  <c r="BD8" i="29" s="1"/>
  <c r="BG8" i="29" s="1"/>
  <c r="BH8" i="29" s="1"/>
  <c r="BO8" i="29" s="1"/>
  <c r="BB8" i="29"/>
  <c r="BC8" i="29" s="1"/>
  <c r="BF8" i="29" s="1"/>
  <c r="BA6" i="29"/>
  <c r="BD6" i="29" s="1"/>
  <c r="BG6" i="29" s="1"/>
  <c r="BB6" i="29"/>
  <c r="BC6" i="29" s="1"/>
  <c r="BF6" i="29" s="1"/>
  <c r="BB13" i="29"/>
  <c r="BC13" i="29" s="1"/>
  <c r="BF13" i="29" s="1"/>
  <c r="BI13" i="29" s="1"/>
  <c r="BA13" i="29"/>
  <c r="BD13" i="29" s="1"/>
  <c r="BG13" i="29" s="1"/>
  <c r="BB9" i="30"/>
  <c r="BC9" i="30" s="1"/>
  <c r="BF9" i="30" s="1"/>
  <c r="BA9" i="30"/>
  <c r="BD9" i="30" s="1"/>
  <c r="BG9" i="30" s="1"/>
  <c r="BH9" i="30" s="1"/>
  <c r="BO9" i="30" s="1"/>
  <c r="BA17" i="32"/>
  <c r="BD17" i="32" s="1"/>
  <c r="BG17" i="32" s="1"/>
  <c r="BH17" i="32" s="1"/>
  <c r="BO17" i="32" s="1"/>
  <c r="BB17" i="32"/>
  <c r="BC17" i="32" s="1"/>
  <c r="BF17" i="32" s="1"/>
  <c r="BB7" i="28"/>
  <c r="BC7" i="28" s="1"/>
  <c r="BF7" i="28" s="1"/>
  <c r="BA7" i="28"/>
  <c r="BD7" i="28" s="1"/>
  <c r="BG7" i="28" s="1"/>
  <c r="BH7" i="28" s="1"/>
  <c r="BO7" i="28" s="1"/>
  <c r="BB12" i="31"/>
  <c r="BC12" i="31" s="1"/>
  <c r="BF12" i="31" s="1"/>
  <c r="BI12" i="31" s="1"/>
  <c r="BA12" i="31"/>
  <c r="BD12" i="31" s="1"/>
  <c r="BG12" i="31" s="1"/>
  <c r="BA24" i="30"/>
  <c r="BD24" i="30" s="1"/>
  <c r="BG24" i="30" s="1"/>
  <c r="BH24" i="30" s="1"/>
  <c r="BO24" i="30" s="1"/>
  <c r="BB24" i="30"/>
  <c r="BC24" i="30" s="1"/>
  <c r="BF24" i="30" s="1"/>
  <c r="BA23" i="32"/>
  <c r="BD23" i="32" s="1"/>
  <c r="BG23" i="32" s="1"/>
  <c r="BH23" i="32" s="1"/>
  <c r="BO23" i="32" s="1"/>
  <c r="BB23" i="32"/>
  <c r="BC23" i="32" s="1"/>
  <c r="BF23" i="32" s="1"/>
  <c r="BA8" i="28"/>
  <c r="BD8" i="28" s="1"/>
  <c r="BG8" i="28" s="1"/>
  <c r="BH8" i="28" s="1"/>
  <c r="BO8" i="28" s="1"/>
  <c r="BB8" i="28"/>
  <c r="BC8" i="28" s="1"/>
  <c r="BF8" i="28" s="1"/>
  <c r="BB24" i="31"/>
  <c r="BC24" i="31" s="1"/>
  <c r="BF24" i="31" s="1"/>
  <c r="BA24" i="31"/>
  <c r="BD24" i="31" s="1"/>
  <c r="BG24" i="31" s="1"/>
  <c r="BH24" i="31" s="1"/>
  <c r="BO24" i="31" s="1"/>
  <c r="BB16" i="31"/>
  <c r="BC16" i="31" s="1"/>
  <c r="BF16" i="31" s="1"/>
  <c r="BI16" i="31" s="1"/>
  <c r="BA16" i="31"/>
  <c r="BD16" i="31" s="1"/>
  <c r="BG16" i="31" s="1"/>
  <c r="BB25" i="29"/>
  <c r="BC25" i="29" s="1"/>
  <c r="BF25" i="29" s="1"/>
  <c r="BA25" i="29"/>
  <c r="BD25" i="29" s="1"/>
  <c r="BG25" i="29" s="1"/>
  <c r="BH25" i="29" s="1"/>
  <c r="BO25" i="29" s="1"/>
  <c r="BB8" i="30"/>
  <c r="BC8" i="30" s="1"/>
  <c r="BF8" i="30" s="1"/>
  <c r="BA8" i="30"/>
  <c r="BD8" i="30" s="1"/>
  <c r="BG8" i="30" s="1"/>
  <c r="BH8" i="30" s="1"/>
  <c r="BO8" i="30" s="1"/>
  <c r="BA22" i="28"/>
  <c r="BD22" i="28" s="1"/>
  <c r="BG22" i="28" s="1"/>
  <c r="BH22" i="28" s="1"/>
  <c r="BO22" i="28" s="1"/>
  <c r="BB22" i="28"/>
  <c r="BC22" i="28" s="1"/>
  <c r="BF22" i="28" s="1"/>
  <c r="BA16" i="32"/>
  <c r="BD16" i="32" s="1"/>
  <c r="BG16" i="32" s="1"/>
  <c r="BH16" i="32" s="1"/>
  <c r="BO16" i="32" s="1"/>
  <c r="BB16" i="32"/>
  <c r="BC16" i="32" s="1"/>
  <c r="BF16" i="32" s="1"/>
  <c r="BB19" i="29"/>
  <c r="BC19" i="29" s="1"/>
  <c r="BF19" i="29" s="1"/>
  <c r="BA19" i="29"/>
  <c r="BD19" i="29" s="1"/>
  <c r="BG19" i="29" s="1"/>
  <c r="BH19" i="29" s="1"/>
  <c r="BO19" i="29" s="1"/>
  <c r="BB6" i="31"/>
  <c r="BC6" i="31" s="1"/>
  <c r="BF6" i="31" s="1"/>
  <c r="BA6" i="31"/>
  <c r="BD6" i="31" s="1"/>
  <c r="BG6" i="31" s="1"/>
  <c r="BB16" i="30"/>
  <c r="BC16" i="30" s="1"/>
  <c r="BF16" i="30" s="1"/>
  <c r="BA16" i="30"/>
  <c r="BD16" i="30" s="1"/>
  <c r="BG16" i="30" s="1"/>
  <c r="BH16" i="30" s="1"/>
  <c r="BO16" i="30" s="1"/>
  <c r="BB8" i="32"/>
  <c r="BC8" i="32" s="1"/>
  <c r="BF8" i="32" s="1"/>
  <c r="BA8" i="32"/>
  <c r="BD8" i="32" s="1"/>
  <c r="BG8" i="32" s="1"/>
  <c r="BH8" i="32" s="1"/>
  <c r="BO8" i="32" s="1"/>
  <c r="BB22" i="31"/>
  <c r="BC22" i="31" s="1"/>
  <c r="BF22" i="31" s="1"/>
  <c r="BA22" i="31"/>
  <c r="BD22" i="31" s="1"/>
  <c r="BG22" i="31" s="1"/>
  <c r="BH22" i="31" s="1"/>
  <c r="BO22" i="31" s="1"/>
  <c r="BA24" i="29"/>
  <c r="BD24" i="29" s="1"/>
  <c r="BG24" i="29" s="1"/>
  <c r="BH24" i="29" s="1"/>
  <c r="BO24" i="29" s="1"/>
  <c r="BB24" i="29"/>
  <c r="BC24" i="29" s="1"/>
  <c r="BF24" i="29" s="1"/>
  <c r="BB7" i="29"/>
  <c r="BC7" i="29" s="1"/>
  <c r="BF7" i="29" s="1"/>
  <c r="BA7" i="29"/>
  <c r="BD7" i="29" s="1"/>
  <c r="BG7" i="29" s="1"/>
  <c r="BH7" i="29" s="1"/>
  <c r="BO7" i="29" s="1"/>
  <c r="BB9" i="28"/>
  <c r="BC9" i="28" s="1"/>
  <c r="BF9" i="28" s="1"/>
  <c r="BA9" i="28"/>
  <c r="BD9" i="28" s="1"/>
  <c r="BG9" i="28" s="1"/>
  <c r="BH9" i="28" s="1"/>
  <c r="BO9" i="28" s="1"/>
  <c r="BB18" i="29"/>
  <c r="BC18" i="29" s="1"/>
  <c r="BF18" i="29" s="1"/>
  <c r="BA18" i="29"/>
  <c r="BD18" i="29" s="1"/>
  <c r="BG18" i="29" s="1"/>
  <c r="BH18" i="29" s="1"/>
  <c r="BO18" i="29" s="1"/>
  <c r="BB12" i="30"/>
  <c r="BC12" i="30" s="1"/>
  <c r="BF12" i="30" s="1"/>
  <c r="BA12" i="30"/>
  <c r="BD12" i="30" s="1"/>
  <c r="BG12" i="30" s="1"/>
  <c r="BH12" i="30" s="1"/>
  <c r="BO12" i="30" s="1"/>
  <c r="BA10" i="30"/>
  <c r="BD10" i="30" s="1"/>
  <c r="BG10" i="30" s="1"/>
  <c r="BH10" i="30" s="1"/>
  <c r="BO10" i="30" s="1"/>
  <c r="BB10" i="30"/>
  <c r="BC10" i="30" s="1"/>
  <c r="BF10" i="30" s="1"/>
  <c r="BB7" i="30"/>
  <c r="BC7" i="30" s="1"/>
  <c r="BF7" i="30" s="1"/>
  <c r="BA7" i="30"/>
  <c r="BD7" i="30" s="1"/>
  <c r="BG7" i="30" s="1"/>
  <c r="BB11" i="28"/>
  <c r="BC11" i="28" s="1"/>
  <c r="BF11" i="28" s="1"/>
  <c r="BA11" i="28"/>
  <c r="BD11" i="28" s="1"/>
  <c r="BG11" i="28" s="1"/>
  <c r="BH11" i="28" s="1"/>
  <c r="BO11" i="28" s="1"/>
  <c r="BA13" i="28"/>
  <c r="BD13" i="28" s="1"/>
  <c r="BG13" i="28" s="1"/>
  <c r="BH13" i="28" s="1"/>
  <c r="BO13" i="28" s="1"/>
  <c r="BB13" i="28"/>
  <c r="BC13" i="28" s="1"/>
  <c r="BF13" i="28" s="1"/>
  <c r="BB9" i="31"/>
  <c r="BC9" i="31" s="1"/>
  <c r="BF9" i="31" s="1"/>
  <c r="BA9" i="31"/>
  <c r="BD9" i="31" s="1"/>
  <c r="BG9" i="31" s="1"/>
  <c r="BH9" i="31" s="1"/>
  <c r="BO9" i="31" s="1"/>
  <c r="BB17" i="30"/>
  <c r="BC17" i="30" s="1"/>
  <c r="BF17" i="30" s="1"/>
  <c r="BA17" i="30"/>
  <c r="BD17" i="30" s="1"/>
  <c r="BG17" i="30" s="1"/>
  <c r="BH17" i="30" s="1"/>
  <c r="BO17" i="30" s="1"/>
  <c r="BB20" i="32"/>
  <c r="BC20" i="32" s="1"/>
  <c r="BF20" i="32" s="1"/>
  <c r="BA20" i="32"/>
  <c r="BD20" i="32" s="1"/>
  <c r="BG20" i="32" s="1"/>
  <c r="BH20" i="32" s="1"/>
  <c r="BO20" i="32" s="1"/>
  <c r="BA18" i="30"/>
  <c r="BD18" i="30" s="1"/>
  <c r="BG18" i="30" s="1"/>
  <c r="BH18" i="30" s="1"/>
  <c r="BO18" i="30" s="1"/>
  <c r="BB18" i="30"/>
  <c r="BC18" i="30" s="1"/>
  <c r="BF18" i="30" s="1"/>
  <c r="BB20" i="30"/>
  <c r="BC20" i="30" s="1"/>
  <c r="BF20" i="30" s="1"/>
  <c r="BA20" i="30"/>
  <c r="BD20" i="30" s="1"/>
  <c r="BG20" i="30" s="1"/>
  <c r="BH20" i="30" s="1"/>
  <c r="BO20" i="30" s="1"/>
  <c r="BA23" i="31"/>
  <c r="BD23" i="31" s="1"/>
  <c r="BG23" i="31" s="1"/>
  <c r="BH23" i="31" s="1"/>
  <c r="BO23" i="31" s="1"/>
  <c r="BB23" i="31"/>
  <c r="BC23" i="31" s="1"/>
  <c r="BF23" i="31" s="1"/>
  <c r="BB17" i="29"/>
  <c r="BC17" i="29" s="1"/>
  <c r="BF17" i="29" s="1"/>
  <c r="BA17" i="29"/>
  <c r="BD17" i="29" s="1"/>
  <c r="BG17" i="29" s="1"/>
  <c r="BH17" i="29" s="1"/>
  <c r="BO17" i="29" s="1"/>
  <c r="BB15" i="30"/>
  <c r="BC15" i="30" s="1"/>
  <c r="BF15" i="30" s="1"/>
  <c r="BA15" i="30"/>
  <c r="BD15" i="30" s="1"/>
  <c r="BG15" i="30" s="1"/>
  <c r="BH15" i="30" s="1"/>
  <c r="BO15" i="30" s="1"/>
  <c r="BA21" i="31"/>
  <c r="BD21" i="31" s="1"/>
  <c r="BG21" i="31" s="1"/>
  <c r="BH21" i="31" s="1"/>
  <c r="BO21" i="31" s="1"/>
  <c r="BB21" i="31"/>
  <c r="BC21" i="31" s="1"/>
  <c r="BF21" i="31" s="1"/>
  <c r="BB15" i="29"/>
  <c r="BC15" i="29" s="1"/>
  <c r="BF15" i="29" s="1"/>
  <c r="BA15" i="29"/>
  <c r="BD15" i="29" s="1"/>
  <c r="BG15" i="29" s="1"/>
  <c r="BH15" i="29" s="1"/>
  <c r="BO15" i="29" s="1"/>
  <c r="BA21" i="28"/>
  <c r="BD21" i="28" s="1"/>
  <c r="BG21" i="28" s="1"/>
  <c r="BH21" i="28" s="1"/>
  <c r="BO21" i="28" s="1"/>
  <c r="BB21" i="28"/>
  <c r="BC21" i="28" s="1"/>
  <c r="BF21" i="28" s="1"/>
  <c r="BA16" i="29"/>
  <c r="BD16" i="29" s="1"/>
  <c r="BG16" i="29" s="1"/>
  <c r="BH16" i="29" s="1"/>
  <c r="BO16" i="29" s="1"/>
  <c r="BB16" i="29"/>
  <c r="BC16" i="29" s="1"/>
  <c r="BF16" i="29" s="1"/>
  <c r="BB23" i="28"/>
  <c r="BC23" i="28" s="1"/>
  <c r="BF23" i="28" s="1"/>
  <c r="BA23" i="28"/>
  <c r="BD23" i="28" s="1"/>
  <c r="BG23" i="28" s="1"/>
  <c r="BH23" i="28" s="1"/>
  <c r="BO23" i="28" s="1"/>
  <c r="BB25" i="28"/>
  <c r="BC25" i="28" s="1"/>
  <c r="BF25" i="28" s="1"/>
  <c r="BA25" i="28"/>
  <c r="BD25" i="28" s="1"/>
  <c r="BG25" i="28" s="1"/>
  <c r="BH25" i="28" s="1"/>
  <c r="BO25" i="28" s="1"/>
  <c r="BA14" i="32"/>
  <c r="BD14" i="32" s="1"/>
  <c r="BG14" i="32" s="1"/>
  <c r="BH14" i="32" s="1"/>
  <c r="BO14" i="32" s="1"/>
  <c r="BB14" i="32"/>
  <c r="BC14" i="32" s="1"/>
  <c r="BF14" i="32" s="1"/>
  <c r="BA14" i="29"/>
  <c r="BD14" i="29" s="1"/>
  <c r="BG14" i="29" s="1"/>
  <c r="BH14" i="29" s="1"/>
  <c r="BO14" i="29" s="1"/>
  <c r="BB14" i="29"/>
  <c r="BC14" i="29" s="1"/>
  <c r="BF14" i="29" s="1"/>
  <c r="BA24" i="28"/>
  <c r="BD24" i="28" s="1"/>
  <c r="BG24" i="28" s="1"/>
  <c r="BB24" i="28"/>
  <c r="BC24" i="28" s="1"/>
  <c r="BF24" i="28" s="1"/>
  <c r="BI24" i="28" s="1"/>
  <c r="BA14" i="31"/>
  <c r="BD14" i="31" s="1"/>
  <c r="BG14" i="31" s="1"/>
  <c r="BH14" i="31" s="1"/>
  <c r="BO14" i="31" s="1"/>
  <c r="BB14" i="31"/>
  <c r="BC14" i="31" s="1"/>
  <c r="BF14" i="31" s="1"/>
  <c r="BB15" i="31"/>
  <c r="BC15" i="31" s="1"/>
  <c r="BF15" i="31" s="1"/>
  <c r="BA15" i="31"/>
  <c r="BD15" i="31" s="1"/>
  <c r="BG15" i="31" s="1"/>
  <c r="BH15" i="31" s="1"/>
  <c r="BO15" i="31" s="1"/>
  <c r="BA6" i="30"/>
  <c r="BD6" i="30" s="1"/>
  <c r="BG6" i="30" s="1"/>
  <c r="BB6" i="30"/>
  <c r="BC6" i="30" s="1"/>
  <c r="BF6" i="30" s="1"/>
  <c r="BA18" i="31"/>
  <c r="BD18" i="31" s="1"/>
  <c r="BG18" i="31" s="1"/>
  <c r="BH18" i="31" s="1"/>
  <c r="BO18" i="31" s="1"/>
  <c r="BB18" i="31"/>
  <c r="BC18" i="31" s="1"/>
  <c r="BF18" i="31" s="1"/>
  <c r="BB11" i="32"/>
  <c r="BC11" i="32" s="1"/>
  <c r="BF11" i="32" s="1"/>
  <c r="BA11" i="32"/>
  <c r="BD11" i="32" s="1"/>
  <c r="BG11" i="32" s="1"/>
  <c r="BH11" i="32" s="1"/>
  <c r="BO11" i="32" s="1"/>
  <c r="BB13" i="32"/>
  <c r="BC13" i="32" s="1"/>
  <c r="BF13" i="32" s="1"/>
  <c r="BA13" i="32"/>
  <c r="BD13" i="32" s="1"/>
  <c r="BG13" i="32" s="1"/>
  <c r="BH13" i="32" s="1"/>
  <c r="BO13" i="32" s="1"/>
  <c r="BA10" i="32"/>
  <c r="BD10" i="32" s="1"/>
  <c r="BG10" i="32" s="1"/>
  <c r="BH10" i="32" s="1"/>
  <c r="BO10" i="32" s="1"/>
  <c r="BB10" i="32"/>
  <c r="BC10" i="32" s="1"/>
  <c r="BF10" i="32" s="1"/>
  <c r="BA12" i="28"/>
  <c r="BD12" i="28" s="1"/>
  <c r="BG12" i="28" s="1"/>
  <c r="BH12" i="28" s="1"/>
  <c r="BO12" i="28" s="1"/>
  <c r="BB12" i="28"/>
  <c r="BC12" i="28" s="1"/>
  <c r="BF12" i="28" s="1"/>
  <c r="BB20" i="31"/>
  <c r="BC20" i="31" s="1"/>
  <c r="BF20" i="31" s="1"/>
  <c r="BI20" i="31" s="1"/>
  <c r="BA20" i="31"/>
  <c r="BD20" i="31" s="1"/>
  <c r="BG20" i="31" s="1"/>
  <c r="BA9" i="29"/>
  <c r="BD9" i="29" s="1"/>
  <c r="BG9" i="29" s="1"/>
  <c r="BB9" i="29"/>
  <c r="BC9" i="29" s="1"/>
  <c r="BF9" i="29" s="1"/>
  <c r="BI9" i="29" s="1"/>
  <c r="BB20" i="28"/>
  <c r="BC20" i="28" s="1"/>
  <c r="BF20" i="28" s="1"/>
  <c r="BA20" i="28"/>
  <c r="BD20" i="28" s="1"/>
  <c r="BG20" i="28" s="1"/>
  <c r="BH20" i="28" s="1"/>
  <c r="BO20" i="28" s="1"/>
  <c r="BB21" i="29"/>
  <c r="BC21" i="29" s="1"/>
  <c r="BF21" i="29" s="1"/>
  <c r="BA21" i="29"/>
  <c r="BD21" i="29" s="1"/>
  <c r="BG21" i="29" s="1"/>
  <c r="BH21" i="29" s="1"/>
  <c r="BO21" i="29" s="1"/>
  <c r="BB23" i="30"/>
  <c r="BC23" i="30" s="1"/>
  <c r="BF23" i="30" s="1"/>
  <c r="BA23" i="30"/>
  <c r="BD23" i="30" s="1"/>
  <c r="BG23" i="30" s="1"/>
  <c r="BH23" i="30" s="1"/>
  <c r="BO23" i="30" s="1"/>
  <c r="BA24" i="32"/>
  <c r="BD24" i="32" s="1"/>
  <c r="BG24" i="32" s="1"/>
  <c r="BH24" i="32" s="1"/>
  <c r="BO24" i="32" s="1"/>
  <c r="BB24" i="32"/>
  <c r="BC24" i="32" s="1"/>
  <c r="BF24" i="32" s="1"/>
  <c r="BB19" i="32"/>
  <c r="BC19" i="32" s="1"/>
  <c r="BF19" i="32" s="1"/>
  <c r="BA19" i="32"/>
  <c r="BD19" i="32" s="1"/>
  <c r="BG19" i="32" s="1"/>
  <c r="BH19" i="32" s="1"/>
  <c r="BO19" i="32" s="1"/>
  <c r="BA25" i="32"/>
  <c r="BD25" i="32" s="1"/>
  <c r="BG25" i="32" s="1"/>
  <c r="BH25" i="32" s="1"/>
  <c r="BO25" i="32" s="1"/>
  <c r="BB25" i="32"/>
  <c r="BC25" i="32" s="1"/>
  <c r="BF25" i="32" s="1"/>
  <c r="BB19" i="28"/>
  <c r="BC19" i="28" s="1"/>
  <c r="BF19" i="28" s="1"/>
  <c r="BA19" i="28"/>
  <c r="BD19" i="28" s="1"/>
  <c r="BG19" i="28" s="1"/>
  <c r="BH19" i="28" s="1"/>
  <c r="BO19" i="28" s="1"/>
  <c r="BB16" i="28"/>
  <c r="BC16" i="28" s="1"/>
  <c r="BF16" i="28" s="1"/>
  <c r="BI16" i="28" s="1"/>
  <c r="BA16" i="28"/>
  <c r="BD16" i="28" s="1"/>
  <c r="BG16" i="28" s="1"/>
  <c r="BA14" i="28"/>
  <c r="BD14" i="28" s="1"/>
  <c r="BG14" i="28" s="1"/>
  <c r="BH14" i="28" s="1"/>
  <c r="BO14" i="28" s="1"/>
  <c r="BB14" i="28"/>
  <c r="BC14" i="28" s="1"/>
  <c r="BF14" i="28" s="1"/>
  <c r="BB10" i="31"/>
  <c r="BC10" i="31" s="1"/>
  <c r="BF10" i="31" s="1"/>
  <c r="BA10" i="31"/>
  <c r="BD10" i="31" s="1"/>
  <c r="BG10" i="31" s="1"/>
  <c r="BH10" i="31" s="1"/>
  <c r="BO10" i="31" s="1"/>
  <c r="BB13" i="31"/>
  <c r="BC13" i="31" s="1"/>
  <c r="BF13" i="31" s="1"/>
  <c r="BA13" i="31"/>
  <c r="BD13" i="31" s="1"/>
  <c r="BG13" i="31" s="1"/>
  <c r="BH13" i="31" s="1"/>
  <c r="BO13" i="31" s="1"/>
  <c r="BB12" i="29"/>
  <c r="BC12" i="29" s="1"/>
  <c r="BF12" i="29" s="1"/>
  <c r="BA12" i="29"/>
  <c r="BD12" i="29" s="1"/>
  <c r="BG12" i="29" s="1"/>
  <c r="BH12" i="29" s="1"/>
  <c r="BO12" i="29" s="1"/>
  <c r="BA10" i="29"/>
  <c r="BD10" i="29" s="1"/>
  <c r="BG10" i="29" s="1"/>
  <c r="BH10" i="29" s="1"/>
  <c r="BO10" i="29" s="1"/>
  <c r="BB10" i="29"/>
  <c r="BC10" i="29" s="1"/>
  <c r="BF10" i="29" s="1"/>
  <c r="BB15" i="32"/>
  <c r="BC15" i="32" s="1"/>
  <c r="BF15" i="32" s="1"/>
  <c r="BA15" i="32"/>
  <c r="BD15" i="32" s="1"/>
  <c r="BG15" i="32" s="1"/>
  <c r="BH15" i="32" s="1"/>
  <c r="BO15" i="32" s="1"/>
  <c r="BB9" i="32"/>
  <c r="BC9" i="32" s="1"/>
  <c r="BF9" i="32" s="1"/>
  <c r="BA9" i="32"/>
  <c r="BD9" i="32" s="1"/>
  <c r="BG9" i="32" s="1"/>
  <c r="BH9" i="32" s="1"/>
  <c r="BO9" i="32" s="1"/>
  <c r="BA10" i="28"/>
  <c r="BD10" i="28" s="1"/>
  <c r="BG10" i="28" s="1"/>
  <c r="BH10" i="28" s="1"/>
  <c r="BO10" i="28" s="1"/>
  <c r="BB10" i="28"/>
  <c r="BC10" i="28" s="1"/>
  <c r="BF10" i="28" s="1"/>
  <c r="BB27" i="32"/>
  <c r="BC27" i="32" s="1"/>
  <c r="BF27" i="32" s="1"/>
  <c r="BA27" i="32"/>
  <c r="BD27" i="32" s="1"/>
  <c r="BG27" i="32" s="1"/>
  <c r="BH27" i="32" s="1"/>
  <c r="BO27" i="32" s="1"/>
  <c r="L29" i="32"/>
  <c r="AM29" i="32" s="1"/>
  <c r="AM28" i="32"/>
  <c r="BB27" i="31"/>
  <c r="BC27" i="31" s="1"/>
  <c r="BF27" i="31" s="1"/>
  <c r="BA27" i="31"/>
  <c r="BD27" i="31" s="1"/>
  <c r="BG27" i="31" s="1"/>
  <c r="BH27" i="31" s="1"/>
  <c r="BO27" i="31" s="1"/>
  <c r="AA26" i="31"/>
  <c r="AG26" i="31" s="1"/>
  <c r="L29" i="31"/>
  <c r="AM29" i="31" s="1"/>
  <c r="AM28" i="31"/>
  <c r="BA26" i="30"/>
  <c r="BD26" i="30" s="1"/>
  <c r="BG26" i="30" s="1"/>
  <c r="BH26" i="30" s="1"/>
  <c r="BO26" i="30" s="1"/>
  <c r="BB26" i="30"/>
  <c r="BC26" i="30" s="1"/>
  <c r="BF26" i="30" s="1"/>
  <c r="AM27" i="30"/>
  <c r="L28" i="30"/>
  <c r="BA27" i="29"/>
  <c r="BD27" i="29" s="1"/>
  <c r="BG27" i="29" s="1"/>
  <c r="BH27" i="29" s="1"/>
  <c r="BO27" i="29" s="1"/>
  <c r="BB27" i="29"/>
  <c r="BC27" i="29" s="1"/>
  <c r="BF27" i="29" s="1"/>
  <c r="L29" i="29"/>
  <c r="AM29" i="29" s="1"/>
  <c r="AM28" i="29"/>
  <c r="L29" i="28"/>
  <c r="AM29" i="28" s="1"/>
  <c r="AM28" i="28"/>
  <c r="BB27" i="28"/>
  <c r="BC27" i="28" s="1"/>
  <c r="BF27" i="28" s="1"/>
  <c r="BA27" i="28"/>
  <c r="BD27" i="28" s="1"/>
  <c r="BG27" i="28" s="1"/>
  <c r="BH27" i="28" s="1"/>
  <c r="BO27" i="28" s="1"/>
  <c r="AV19" i="15"/>
  <c r="AV21" i="15"/>
  <c r="AV22" i="15"/>
  <c r="AV9" i="15"/>
  <c r="AV20" i="15"/>
  <c r="AV29" i="15"/>
  <c r="BL26" i="31" l="1"/>
  <c r="AA26" i="29"/>
  <c r="AG26" i="29" s="1"/>
  <c r="BS26" i="32"/>
  <c r="BO26" i="32"/>
  <c r="BP16" i="31"/>
  <c r="BP9" i="29"/>
  <c r="BM26" i="31"/>
  <c r="Y26" i="31"/>
  <c r="X26" i="31"/>
  <c r="BP26" i="31"/>
  <c r="BP20" i="31"/>
  <c r="BP12" i="31"/>
  <c r="BP13" i="29"/>
  <c r="BP24" i="28"/>
  <c r="BP16" i="28"/>
  <c r="AA26" i="28"/>
  <c r="AG26" i="28" s="1"/>
  <c r="BO26" i="28"/>
  <c r="AA25" i="30"/>
  <c r="AG25" i="30" s="1"/>
  <c r="BS26" i="29"/>
  <c r="AA26" i="32"/>
  <c r="AG26" i="32" s="1"/>
  <c r="BS25" i="30"/>
  <c r="BL10" i="28"/>
  <c r="BI10" i="28"/>
  <c r="BS10" i="31"/>
  <c r="BI12" i="28"/>
  <c r="BL12" i="28"/>
  <c r="BS15" i="31"/>
  <c r="BS23" i="28"/>
  <c r="BS20" i="30"/>
  <c r="BS11" i="28"/>
  <c r="BL10" i="30"/>
  <c r="BI10" i="30"/>
  <c r="BS22" i="31"/>
  <c r="BS25" i="29"/>
  <c r="BL12" i="31"/>
  <c r="BH12" i="31"/>
  <c r="Y12" i="31" s="1"/>
  <c r="BI8" i="29"/>
  <c r="BL8" i="29"/>
  <c r="BS18" i="28"/>
  <c r="BL22" i="30"/>
  <c r="BI22" i="30"/>
  <c r="BS19" i="31"/>
  <c r="BI19" i="30"/>
  <c r="BL19" i="30"/>
  <c r="BL25" i="31"/>
  <c r="BI25" i="31"/>
  <c r="BS13" i="30"/>
  <c r="BS27" i="31"/>
  <c r="BR16" i="28"/>
  <c r="BJ16" i="28"/>
  <c r="BL21" i="29"/>
  <c r="BI21" i="29"/>
  <c r="BS18" i="31"/>
  <c r="BI23" i="28"/>
  <c r="BL23" i="28"/>
  <c r="BL17" i="29"/>
  <c r="BI17" i="29"/>
  <c r="BI11" i="28"/>
  <c r="BL11" i="28"/>
  <c r="BI7" i="29"/>
  <c r="BL7" i="29"/>
  <c r="BS22" i="28"/>
  <c r="BR12" i="31"/>
  <c r="BJ12" i="31"/>
  <c r="BS8" i="29"/>
  <c r="BS8" i="31"/>
  <c r="BL18" i="28"/>
  <c r="BI18" i="28"/>
  <c r="BS22" i="30"/>
  <c r="BL17" i="31"/>
  <c r="BI17" i="31"/>
  <c r="BI19" i="31"/>
  <c r="BL19" i="31"/>
  <c r="BS19" i="30"/>
  <c r="BS22" i="29"/>
  <c r="BS25" i="31"/>
  <c r="BL13" i="30"/>
  <c r="BI13" i="30"/>
  <c r="BS26" i="28"/>
  <c r="BS26" i="30"/>
  <c r="BR9" i="29"/>
  <c r="BJ9" i="29"/>
  <c r="BI18" i="31"/>
  <c r="BL18" i="31"/>
  <c r="BS17" i="29"/>
  <c r="BS9" i="31"/>
  <c r="BS7" i="29"/>
  <c r="BS19" i="29"/>
  <c r="BS24" i="31"/>
  <c r="BS17" i="31"/>
  <c r="BS10" i="28"/>
  <c r="BI10" i="31"/>
  <c r="BL10" i="31"/>
  <c r="BS12" i="28"/>
  <c r="BI15" i="31"/>
  <c r="BL15" i="31"/>
  <c r="BS21" i="28"/>
  <c r="BI20" i="30"/>
  <c r="BL20" i="30"/>
  <c r="BL9" i="31"/>
  <c r="BI9" i="31"/>
  <c r="BL18" i="29"/>
  <c r="BI18" i="29"/>
  <c r="BL16" i="30"/>
  <c r="BI16" i="30"/>
  <c r="BI24" i="31"/>
  <c r="BL24" i="31"/>
  <c r="BL10" i="29"/>
  <c r="BI10" i="29"/>
  <c r="BS13" i="31"/>
  <c r="BL14" i="28"/>
  <c r="BI14" i="28"/>
  <c r="BS19" i="28"/>
  <c r="BS23" i="30"/>
  <c r="BS20" i="28"/>
  <c r="BL20" i="31"/>
  <c r="BH20" i="31"/>
  <c r="BI6" i="30"/>
  <c r="BL6" i="30"/>
  <c r="BI14" i="31"/>
  <c r="BL14" i="31"/>
  <c r="BL14" i="29"/>
  <c r="BI14" i="29"/>
  <c r="BS25" i="28"/>
  <c r="BI16" i="29"/>
  <c r="BL16" i="29"/>
  <c r="BS15" i="29"/>
  <c r="BS15" i="30"/>
  <c r="BI23" i="31"/>
  <c r="BL23" i="31"/>
  <c r="BL18" i="30"/>
  <c r="BI18" i="30"/>
  <c r="BS17" i="30"/>
  <c r="BL13" i="28"/>
  <c r="BI13" i="28"/>
  <c r="BH7" i="30"/>
  <c r="BS12" i="30"/>
  <c r="BS9" i="28"/>
  <c r="BI24" i="29"/>
  <c r="BL24" i="29"/>
  <c r="BH6" i="31"/>
  <c r="BS8" i="30"/>
  <c r="BL16" i="31"/>
  <c r="BH16" i="31"/>
  <c r="BI8" i="28"/>
  <c r="BL8" i="28"/>
  <c r="BI24" i="30"/>
  <c r="BL24" i="30"/>
  <c r="BS7" i="28"/>
  <c r="BS9" i="30"/>
  <c r="BI6" i="29"/>
  <c r="BL6" i="29"/>
  <c r="BI11" i="31"/>
  <c r="BL11" i="31"/>
  <c r="BI15" i="28"/>
  <c r="BL15" i="28"/>
  <c r="BS21" i="30"/>
  <c r="BL11" i="29"/>
  <c r="BI11" i="29"/>
  <c r="BS14" i="30"/>
  <c r="BS7" i="31"/>
  <c r="BH6" i="28"/>
  <c r="BS11" i="30"/>
  <c r="BI23" i="29"/>
  <c r="BL23" i="29"/>
  <c r="BS17" i="28"/>
  <c r="BI20" i="29"/>
  <c r="BL20" i="29"/>
  <c r="BL26" i="29"/>
  <c r="BI26" i="29"/>
  <c r="BL26" i="28"/>
  <c r="BI26" i="28"/>
  <c r="BI27" i="28"/>
  <c r="BL27" i="28"/>
  <c r="BS12" i="29"/>
  <c r="BL16" i="28"/>
  <c r="BH16" i="28"/>
  <c r="Y16" i="28" s="1"/>
  <c r="BS21" i="29"/>
  <c r="BR24" i="28"/>
  <c r="BJ24" i="28"/>
  <c r="BL21" i="28"/>
  <c r="BI21" i="28"/>
  <c r="BL21" i="31"/>
  <c r="BI21" i="31"/>
  <c r="BS18" i="29"/>
  <c r="BS16" i="30"/>
  <c r="BL22" i="28"/>
  <c r="BI22" i="28"/>
  <c r="BL13" i="29"/>
  <c r="BH13" i="29"/>
  <c r="Y13" i="29" s="1"/>
  <c r="BI8" i="31"/>
  <c r="BL8" i="31"/>
  <c r="BL22" i="29"/>
  <c r="BI22" i="29"/>
  <c r="BR26" i="31"/>
  <c r="BJ26" i="31"/>
  <c r="BI12" i="29"/>
  <c r="BL12" i="29"/>
  <c r="BL9" i="29"/>
  <c r="BH9" i="29"/>
  <c r="Y9" i="29" s="1"/>
  <c r="BL24" i="28"/>
  <c r="BH24" i="28"/>
  <c r="Y24" i="28" s="1"/>
  <c r="BS21" i="31"/>
  <c r="BS10" i="30"/>
  <c r="BI22" i="31"/>
  <c r="BL22" i="31"/>
  <c r="BI19" i="29"/>
  <c r="BL19" i="29"/>
  <c r="BL25" i="29"/>
  <c r="BI25" i="29"/>
  <c r="BR13" i="29"/>
  <c r="BJ13" i="29"/>
  <c r="BI27" i="29"/>
  <c r="BL27" i="29"/>
  <c r="BI27" i="31"/>
  <c r="BL27" i="31"/>
  <c r="BS27" i="28"/>
  <c r="BS27" i="29"/>
  <c r="BL26" i="30"/>
  <c r="BI26" i="30"/>
  <c r="BS10" i="29"/>
  <c r="BL13" i="31"/>
  <c r="BI13" i="31"/>
  <c r="BS14" i="28"/>
  <c r="BI19" i="28"/>
  <c r="BL19" i="28"/>
  <c r="BI23" i="30"/>
  <c r="BL23" i="30"/>
  <c r="BI20" i="28"/>
  <c r="BL20" i="28"/>
  <c r="BR20" i="31"/>
  <c r="BJ20" i="31"/>
  <c r="BH6" i="30"/>
  <c r="BS14" i="31"/>
  <c r="BS14" i="29"/>
  <c r="BL25" i="28"/>
  <c r="BI25" i="28"/>
  <c r="BS16" i="29"/>
  <c r="BL15" i="29"/>
  <c r="BI15" i="29"/>
  <c r="BI15" i="30"/>
  <c r="BL15" i="30"/>
  <c r="BS23" i="31"/>
  <c r="BS18" i="30"/>
  <c r="BL17" i="30"/>
  <c r="BI17" i="30"/>
  <c r="BS13" i="28"/>
  <c r="BI7" i="30"/>
  <c r="BL7" i="30"/>
  <c r="BL12" i="30"/>
  <c r="BI12" i="30"/>
  <c r="BL9" i="28"/>
  <c r="BI9" i="28"/>
  <c r="BS24" i="29"/>
  <c r="BI6" i="31"/>
  <c r="BL6" i="31"/>
  <c r="BI8" i="30"/>
  <c r="BL8" i="30"/>
  <c r="BR16" i="31"/>
  <c r="BJ16" i="31"/>
  <c r="BS8" i="28"/>
  <c r="BS24" i="30"/>
  <c r="BL7" i="28"/>
  <c r="BI7" i="28"/>
  <c r="BL9" i="30"/>
  <c r="BI9" i="30"/>
  <c r="BH6" i="29"/>
  <c r="BO6" i="29" s="1"/>
  <c r="BS11" i="31"/>
  <c r="BS15" i="28"/>
  <c r="BL21" i="30"/>
  <c r="BI21" i="30"/>
  <c r="BS11" i="29"/>
  <c r="BL14" i="30"/>
  <c r="BI14" i="30"/>
  <c r="BI7" i="31"/>
  <c r="BL7" i="31"/>
  <c r="BL6" i="28"/>
  <c r="BI6" i="28"/>
  <c r="BI11" i="30"/>
  <c r="BL11" i="30"/>
  <c r="BS23" i="29"/>
  <c r="BL17" i="28"/>
  <c r="BI17" i="28"/>
  <c r="BS20" i="29"/>
  <c r="BL25" i="30"/>
  <c r="BI25" i="30"/>
  <c r="BS9" i="32"/>
  <c r="BS11" i="32"/>
  <c r="BS8" i="32"/>
  <c r="BL16" i="32"/>
  <c r="BI16" i="32"/>
  <c r="BM16" i="32" s="1"/>
  <c r="BS7" i="32"/>
  <c r="BL21" i="32"/>
  <c r="BI21" i="32"/>
  <c r="BL9" i="32"/>
  <c r="BI9" i="32"/>
  <c r="BL19" i="32"/>
  <c r="BI19" i="32"/>
  <c r="BS10" i="32"/>
  <c r="BI11" i="32"/>
  <c r="BL11" i="32"/>
  <c r="BI8" i="32"/>
  <c r="BL8" i="32"/>
  <c r="BS16" i="32"/>
  <c r="BI7" i="32"/>
  <c r="BL7" i="32"/>
  <c r="BS21" i="32"/>
  <c r="BI27" i="32"/>
  <c r="BL27" i="32"/>
  <c r="BL10" i="32"/>
  <c r="BI10" i="32"/>
  <c r="BI24" i="32"/>
  <c r="BL24" i="32"/>
  <c r="BL14" i="32"/>
  <c r="BI14" i="32"/>
  <c r="BS20" i="32"/>
  <c r="BI23" i="32"/>
  <c r="BL23" i="32"/>
  <c r="BL17" i="32"/>
  <c r="BI17" i="32"/>
  <c r="BS22" i="32"/>
  <c r="BS12" i="32"/>
  <c r="BS18" i="32"/>
  <c r="BH6" i="32"/>
  <c r="BO6" i="32" s="1"/>
  <c r="BL26" i="32"/>
  <c r="BI26" i="32"/>
  <c r="BS19" i="32"/>
  <c r="BS15" i="32"/>
  <c r="BL25" i="32"/>
  <c r="BI25" i="32"/>
  <c r="BS13" i="32"/>
  <c r="BS27" i="32"/>
  <c r="BI15" i="32"/>
  <c r="BL15" i="32"/>
  <c r="BS25" i="32"/>
  <c r="BS24" i="32"/>
  <c r="BL13" i="32"/>
  <c r="BI13" i="32"/>
  <c r="BS14" i="32"/>
  <c r="BL20" i="32"/>
  <c r="BI20" i="32"/>
  <c r="BS23" i="32"/>
  <c r="BS17" i="32"/>
  <c r="BL22" i="32"/>
  <c r="BI22" i="32"/>
  <c r="BI12" i="32"/>
  <c r="BL12" i="32"/>
  <c r="BL18" i="32"/>
  <c r="BI18" i="32"/>
  <c r="BI6" i="32"/>
  <c r="BL6" i="32"/>
  <c r="AA19" i="28"/>
  <c r="AG19" i="28" s="1"/>
  <c r="AA19" i="32"/>
  <c r="AG19" i="32" s="1"/>
  <c r="AA25" i="28"/>
  <c r="AG25" i="28" s="1"/>
  <c r="AA15" i="30"/>
  <c r="AG15" i="30" s="1"/>
  <c r="AA17" i="30"/>
  <c r="AG17" i="30" s="1"/>
  <c r="AA12" i="30"/>
  <c r="AG12" i="30" s="1"/>
  <c r="AA9" i="30"/>
  <c r="AG9" i="30" s="1"/>
  <c r="AA21" i="30"/>
  <c r="AG21" i="30" s="1"/>
  <c r="AA11" i="30"/>
  <c r="AG11" i="30" s="1"/>
  <c r="AA17" i="28"/>
  <c r="AG17" i="28" s="1"/>
  <c r="AA10" i="29"/>
  <c r="AG10" i="29" s="1"/>
  <c r="AA14" i="28"/>
  <c r="AG14" i="28" s="1"/>
  <c r="AA10" i="32"/>
  <c r="AG10" i="32" s="1"/>
  <c r="AA14" i="31"/>
  <c r="AG14" i="31" s="1"/>
  <c r="AA14" i="29"/>
  <c r="AG14" i="29" s="1"/>
  <c r="AA16" i="29"/>
  <c r="AG16" i="29" s="1"/>
  <c r="AA23" i="31"/>
  <c r="AG23" i="31" s="1"/>
  <c r="AA18" i="30"/>
  <c r="AG18" i="30" s="1"/>
  <c r="AA13" i="28"/>
  <c r="AG13" i="28" s="1"/>
  <c r="AA24" i="29"/>
  <c r="AG24" i="29" s="1"/>
  <c r="AA16" i="32"/>
  <c r="AG16" i="32" s="1"/>
  <c r="AA8" i="28"/>
  <c r="AG8" i="28" s="1"/>
  <c r="AA24" i="30"/>
  <c r="AG24" i="30" s="1"/>
  <c r="AA11" i="31"/>
  <c r="AG11" i="31" s="1"/>
  <c r="AA15" i="28"/>
  <c r="AG15" i="28" s="1"/>
  <c r="AA11" i="29"/>
  <c r="AG11" i="29" s="1"/>
  <c r="AA21" i="32"/>
  <c r="AG21" i="32" s="1"/>
  <c r="AA23" i="29"/>
  <c r="AG23" i="29" s="1"/>
  <c r="AA20" i="29"/>
  <c r="AG20" i="29" s="1"/>
  <c r="AA9" i="32"/>
  <c r="AG9" i="32" s="1"/>
  <c r="AA20" i="28"/>
  <c r="AG20" i="28" s="1"/>
  <c r="AA11" i="32"/>
  <c r="AG11" i="32" s="1"/>
  <c r="AA15" i="29"/>
  <c r="AG15" i="29" s="1"/>
  <c r="AA14" i="30"/>
  <c r="AG14" i="30" s="1"/>
  <c r="AA15" i="32"/>
  <c r="AG15" i="32" s="1"/>
  <c r="AA12" i="29"/>
  <c r="AG12" i="29" s="1"/>
  <c r="AA10" i="31"/>
  <c r="AG10" i="31" s="1"/>
  <c r="AA21" i="29"/>
  <c r="AG21" i="29" s="1"/>
  <c r="AA13" i="32"/>
  <c r="AG13" i="32" s="1"/>
  <c r="AA15" i="31"/>
  <c r="AG15" i="31" s="1"/>
  <c r="AA23" i="28"/>
  <c r="AG23" i="28" s="1"/>
  <c r="AA17" i="29"/>
  <c r="AG17" i="29" s="1"/>
  <c r="AA20" i="30"/>
  <c r="AG20" i="30" s="1"/>
  <c r="AA20" i="32"/>
  <c r="AG20" i="32" s="1"/>
  <c r="AA9" i="31"/>
  <c r="AG9" i="31" s="1"/>
  <c r="AA11" i="28"/>
  <c r="AG11" i="28" s="1"/>
  <c r="AA18" i="29"/>
  <c r="AG18" i="29" s="1"/>
  <c r="AA7" i="29"/>
  <c r="AG7" i="29" s="1"/>
  <c r="AA22" i="31"/>
  <c r="AG22" i="31" s="1"/>
  <c r="AA16" i="30"/>
  <c r="AG16" i="30" s="1"/>
  <c r="AA19" i="29"/>
  <c r="AG19" i="29" s="1"/>
  <c r="AA25" i="29"/>
  <c r="AG25" i="29" s="1"/>
  <c r="AA24" i="31"/>
  <c r="AG24" i="31" s="1"/>
  <c r="AA18" i="28"/>
  <c r="AG18" i="28" s="1"/>
  <c r="AA22" i="32"/>
  <c r="AG22" i="32" s="1"/>
  <c r="AA12" i="32"/>
  <c r="AG12" i="32" s="1"/>
  <c r="AA17" i="31"/>
  <c r="AG17" i="31" s="1"/>
  <c r="AA19" i="31"/>
  <c r="AG19" i="31" s="1"/>
  <c r="AA18" i="32"/>
  <c r="AG18" i="32" s="1"/>
  <c r="AA13" i="30"/>
  <c r="AG13" i="30" s="1"/>
  <c r="AA13" i="31"/>
  <c r="AG13" i="31" s="1"/>
  <c r="AA23" i="30"/>
  <c r="AG23" i="30" s="1"/>
  <c r="AA9" i="28"/>
  <c r="AG9" i="28" s="1"/>
  <c r="AA8" i="32"/>
  <c r="AG8" i="32" s="1"/>
  <c r="AA8" i="30"/>
  <c r="AG8" i="30" s="1"/>
  <c r="AA7" i="28"/>
  <c r="AG7" i="28" s="1"/>
  <c r="AA7" i="32"/>
  <c r="AG7" i="32" s="1"/>
  <c r="AA7" i="31"/>
  <c r="AG7" i="31" s="1"/>
  <c r="AA10" i="28"/>
  <c r="AG10" i="28" s="1"/>
  <c r="AA25" i="32"/>
  <c r="AG25" i="32" s="1"/>
  <c r="AA24" i="32"/>
  <c r="AG24" i="32" s="1"/>
  <c r="AA12" i="28"/>
  <c r="AG12" i="28" s="1"/>
  <c r="AA18" i="31"/>
  <c r="AG18" i="31" s="1"/>
  <c r="AA14" i="32"/>
  <c r="AG14" i="32" s="1"/>
  <c r="AA21" i="28"/>
  <c r="AG21" i="28" s="1"/>
  <c r="AA21" i="31"/>
  <c r="AG21" i="31" s="1"/>
  <c r="AA10" i="30"/>
  <c r="AG10" i="30" s="1"/>
  <c r="AA22" i="28"/>
  <c r="AG22" i="28" s="1"/>
  <c r="AA23" i="32"/>
  <c r="AG23" i="32" s="1"/>
  <c r="AA17" i="32"/>
  <c r="AG17" i="32" s="1"/>
  <c r="AA8" i="29"/>
  <c r="AG8" i="29" s="1"/>
  <c r="AA8" i="31"/>
  <c r="AG8" i="31" s="1"/>
  <c r="AA22" i="30"/>
  <c r="AG22" i="30" s="1"/>
  <c r="AA19" i="30"/>
  <c r="AG19" i="30" s="1"/>
  <c r="AA22" i="29"/>
  <c r="AG22" i="29" s="1"/>
  <c r="AA25" i="31"/>
  <c r="AG25" i="31" s="1"/>
  <c r="AA27" i="32"/>
  <c r="AG27" i="32" s="1"/>
  <c r="BB28" i="32"/>
  <c r="BC28" i="32" s="1"/>
  <c r="BF28" i="32" s="1"/>
  <c r="BA28" i="32"/>
  <c r="BD28" i="32" s="1"/>
  <c r="BG28" i="32" s="1"/>
  <c r="BH28" i="32" s="1"/>
  <c r="BO28" i="32" s="1"/>
  <c r="AM30" i="32"/>
  <c r="BB29" i="32"/>
  <c r="BC29" i="32" s="1"/>
  <c r="BF29" i="32" s="1"/>
  <c r="BA29" i="32"/>
  <c r="BD29" i="32" s="1"/>
  <c r="BG29" i="32" s="1"/>
  <c r="BH29" i="32" s="1"/>
  <c r="BO29" i="32" s="1"/>
  <c r="M26" i="31"/>
  <c r="W26" i="31"/>
  <c r="AH26" i="31"/>
  <c r="AJ26" i="31" s="1"/>
  <c r="AB26" i="31"/>
  <c r="AD26" i="31" s="1"/>
  <c r="AA27" i="31"/>
  <c r="AG27" i="31" s="1"/>
  <c r="BB28" i="31"/>
  <c r="BC28" i="31" s="1"/>
  <c r="BF28" i="31" s="1"/>
  <c r="BI28" i="31" s="1"/>
  <c r="BA28" i="31"/>
  <c r="BD28" i="31" s="1"/>
  <c r="BG28" i="31" s="1"/>
  <c r="AM30" i="31"/>
  <c r="BB29" i="31"/>
  <c r="BC29" i="31" s="1"/>
  <c r="BF29" i="31" s="1"/>
  <c r="BA29" i="31"/>
  <c r="BD29" i="31" s="1"/>
  <c r="BG29" i="31" s="1"/>
  <c r="BH29" i="31" s="1"/>
  <c r="BO29" i="31" s="1"/>
  <c r="AB25" i="30"/>
  <c r="AD25" i="30" s="1"/>
  <c r="BB27" i="30"/>
  <c r="BC27" i="30" s="1"/>
  <c r="BF27" i="30" s="1"/>
  <c r="BA27" i="30"/>
  <c r="BD27" i="30" s="1"/>
  <c r="BG27" i="30" s="1"/>
  <c r="BH27" i="30" s="1"/>
  <c r="BO27" i="30" s="1"/>
  <c r="AA26" i="30"/>
  <c r="AG26" i="30" s="1"/>
  <c r="L29" i="30"/>
  <c r="AM29" i="30" s="1"/>
  <c r="AM28" i="30"/>
  <c r="AM30" i="29"/>
  <c r="BB29" i="29"/>
  <c r="BC29" i="29" s="1"/>
  <c r="BF29" i="29" s="1"/>
  <c r="BA29" i="29"/>
  <c r="BD29" i="29" s="1"/>
  <c r="BG29" i="29" s="1"/>
  <c r="BH29" i="29" s="1"/>
  <c r="BO29" i="29" s="1"/>
  <c r="AA27" i="29"/>
  <c r="AG27" i="29" s="1"/>
  <c r="BA28" i="29"/>
  <c r="BD28" i="29" s="1"/>
  <c r="BG28" i="29" s="1"/>
  <c r="BH28" i="29" s="1"/>
  <c r="BO28" i="29" s="1"/>
  <c r="BB28" i="29"/>
  <c r="BC28" i="29" s="1"/>
  <c r="BF28" i="29" s="1"/>
  <c r="BB28" i="28"/>
  <c r="BC28" i="28" s="1"/>
  <c r="BF28" i="28" s="1"/>
  <c r="BA28" i="28"/>
  <c r="BD28" i="28" s="1"/>
  <c r="BG28" i="28" s="1"/>
  <c r="BH28" i="28" s="1"/>
  <c r="BO28" i="28" s="1"/>
  <c r="AM30" i="28"/>
  <c r="BB29" i="28"/>
  <c r="BC29" i="28" s="1"/>
  <c r="BF29" i="28" s="1"/>
  <c r="BA29" i="28"/>
  <c r="BD29" i="28" s="1"/>
  <c r="BG29" i="28" s="1"/>
  <c r="BH29" i="28" s="1"/>
  <c r="BO29" i="28" s="1"/>
  <c r="AA27" i="28"/>
  <c r="AG27" i="28" s="1"/>
  <c r="AV13" i="15"/>
  <c r="AX13" i="15" s="1"/>
  <c r="AV8" i="15"/>
  <c r="AX8" i="15" s="1"/>
  <c r="AV12" i="15"/>
  <c r="AX12" i="15" s="1"/>
  <c r="AV15" i="15"/>
  <c r="AY15" i="15" s="1"/>
  <c r="AV18" i="15"/>
  <c r="AX18" i="15" s="1"/>
  <c r="AV6" i="15"/>
  <c r="AX6" i="15" s="1"/>
  <c r="AV26" i="15"/>
  <c r="AX26" i="15" s="1"/>
  <c r="AV30" i="15"/>
  <c r="AY30" i="15" s="1"/>
  <c r="AV16" i="15"/>
  <c r="AY16" i="15" s="1"/>
  <c r="AV14" i="15"/>
  <c r="AX14" i="15" s="1"/>
  <c r="AV23" i="15"/>
  <c r="AX23" i="15" s="1"/>
  <c r="AV25" i="15"/>
  <c r="AY25" i="15" s="1"/>
  <c r="AV7" i="15"/>
  <c r="AX7" i="15" s="1"/>
  <c r="AV24" i="15"/>
  <c r="AX24" i="15" s="1"/>
  <c r="AV17" i="15"/>
  <c r="AY17" i="15" s="1"/>
  <c r="AV28" i="15"/>
  <c r="AX28" i="15" s="1"/>
  <c r="AV11" i="15"/>
  <c r="AY11" i="15" s="1"/>
  <c r="AV27" i="15"/>
  <c r="AX27" i="15" s="1"/>
  <c r="AV10" i="15"/>
  <c r="AX10" i="15" s="1"/>
  <c r="AY20" i="15"/>
  <c r="AX20" i="15"/>
  <c r="AY8" i="15"/>
  <c r="AX21" i="15"/>
  <c r="AY21" i="15"/>
  <c r="AY22" i="15"/>
  <c r="AX22" i="15"/>
  <c r="AY9" i="15"/>
  <c r="AX9" i="15"/>
  <c r="AX29" i="15"/>
  <c r="AY29" i="15"/>
  <c r="AY19" i="15"/>
  <c r="AX19" i="15"/>
  <c r="AA6" i="32" l="1"/>
  <c r="AG6" i="32" s="1"/>
  <c r="X13" i="29"/>
  <c r="BP10" i="32"/>
  <c r="Y10" i="32"/>
  <c r="X10" i="32"/>
  <c r="Y11" i="32"/>
  <c r="X11" i="32"/>
  <c r="BP11" i="32"/>
  <c r="Y7" i="30"/>
  <c r="X7" i="30"/>
  <c r="BP7" i="30"/>
  <c r="BM15" i="29"/>
  <c r="BP15" i="29"/>
  <c r="Y15" i="29"/>
  <c r="X15" i="29"/>
  <c r="BM19" i="31"/>
  <c r="Y19" i="31"/>
  <c r="X19" i="31"/>
  <c r="BP19" i="31"/>
  <c r="Y7" i="29"/>
  <c r="X7" i="29"/>
  <c r="BP7" i="29"/>
  <c r="BM10" i="30"/>
  <c r="Y10" i="30"/>
  <c r="BP10" i="30"/>
  <c r="X10" i="30"/>
  <c r="BP28" i="31"/>
  <c r="BM17" i="32"/>
  <c r="Y17" i="32"/>
  <c r="X17" i="32"/>
  <c r="BP17" i="32"/>
  <c r="BP24" i="32"/>
  <c r="Y24" i="32"/>
  <c r="X24" i="32"/>
  <c r="BM27" i="32"/>
  <c r="Y27" i="32"/>
  <c r="X27" i="32"/>
  <c r="BP27" i="32"/>
  <c r="BM8" i="30"/>
  <c r="Y8" i="30"/>
  <c r="X8" i="30"/>
  <c r="BP8" i="30"/>
  <c r="Y15" i="30"/>
  <c r="X15" i="30"/>
  <c r="BP15" i="30"/>
  <c r="AA6" i="30"/>
  <c r="AG6" i="30" s="1"/>
  <c r="BO6" i="30"/>
  <c r="BM27" i="29"/>
  <c r="BP27" i="29"/>
  <c r="Y27" i="29"/>
  <c r="X27" i="29"/>
  <c r="BM22" i="31"/>
  <c r="Y22" i="31"/>
  <c r="X22" i="31"/>
  <c r="BP22" i="31"/>
  <c r="BM12" i="29"/>
  <c r="Y12" i="29"/>
  <c r="X12" i="29"/>
  <c r="BP12" i="29"/>
  <c r="BM11" i="31"/>
  <c r="Y11" i="31"/>
  <c r="X11" i="31"/>
  <c r="BP11" i="31"/>
  <c r="AA6" i="31"/>
  <c r="AG6" i="31" s="1"/>
  <c r="BO6" i="31"/>
  <c r="BM23" i="31"/>
  <c r="Y23" i="31"/>
  <c r="X23" i="31"/>
  <c r="BP23" i="31"/>
  <c r="BM16" i="29"/>
  <c r="Y16" i="29"/>
  <c r="X16" i="29"/>
  <c r="BP16" i="29"/>
  <c r="AA20" i="31"/>
  <c r="AG20" i="31" s="1"/>
  <c r="BO20" i="31"/>
  <c r="BM10" i="29"/>
  <c r="Y10" i="29"/>
  <c r="X10" i="29"/>
  <c r="BP10" i="29"/>
  <c r="BM16" i="30"/>
  <c r="Y16" i="30"/>
  <c r="X16" i="30"/>
  <c r="BP16" i="30"/>
  <c r="BM9" i="31"/>
  <c r="Y9" i="31"/>
  <c r="X9" i="31"/>
  <c r="BP9" i="31"/>
  <c r="BM17" i="29"/>
  <c r="BP17" i="29"/>
  <c r="Y17" i="29"/>
  <c r="X17" i="29"/>
  <c r="BM22" i="30"/>
  <c r="Y22" i="30"/>
  <c r="X22" i="30"/>
  <c r="BP22" i="30"/>
  <c r="Y8" i="29"/>
  <c r="X8" i="29"/>
  <c r="BP8" i="29"/>
  <c r="X12" i="31"/>
  <c r="Y20" i="31"/>
  <c r="BM14" i="32"/>
  <c r="BP14" i="32"/>
  <c r="Y14" i="32"/>
  <c r="X14" i="32"/>
  <c r="AA9" i="29"/>
  <c r="AG9" i="29" s="1"/>
  <c r="BO9" i="29"/>
  <c r="BP21" i="31"/>
  <c r="Y21" i="31"/>
  <c r="X21" i="31"/>
  <c r="BM23" i="29"/>
  <c r="BP23" i="29"/>
  <c r="X23" i="29"/>
  <c r="Y23" i="29"/>
  <c r="AA16" i="31"/>
  <c r="AG16" i="31" s="1"/>
  <c r="BO16" i="31"/>
  <c r="BM18" i="30"/>
  <c r="Y18" i="30"/>
  <c r="BP18" i="30"/>
  <c r="X18" i="30"/>
  <c r="BM21" i="29"/>
  <c r="BP21" i="29"/>
  <c r="Y21" i="29"/>
  <c r="X21" i="29"/>
  <c r="BM9" i="32"/>
  <c r="Y9" i="32"/>
  <c r="X9" i="32"/>
  <c r="BP9" i="32"/>
  <c r="BM26" i="30"/>
  <c r="Y26" i="30"/>
  <c r="BP26" i="30"/>
  <c r="X26" i="30"/>
  <c r="AA7" i="30"/>
  <c r="AG7" i="30" s="1"/>
  <c r="BO7" i="30"/>
  <c r="BM14" i="31"/>
  <c r="Y14" i="31"/>
  <c r="X14" i="31"/>
  <c r="BP14" i="31"/>
  <c r="BP6" i="32"/>
  <c r="Y6" i="32"/>
  <c r="X6" i="32"/>
  <c r="BM12" i="32"/>
  <c r="BP12" i="32"/>
  <c r="Y12" i="32"/>
  <c r="X12" i="32"/>
  <c r="BM13" i="32"/>
  <c r="Y13" i="32"/>
  <c r="X13" i="32"/>
  <c r="BP13" i="32"/>
  <c r="Y25" i="32"/>
  <c r="X25" i="32"/>
  <c r="BP25" i="32"/>
  <c r="BP26" i="32"/>
  <c r="Y26" i="32"/>
  <c r="N26" i="32" s="1"/>
  <c r="X26" i="32"/>
  <c r="O26" i="32" s="1"/>
  <c r="BP16" i="32"/>
  <c r="Y16" i="32"/>
  <c r="X16" i="32"/>
  <c r="BM11" i="30"/>
  <c r="Y11" i="30"/>
  <c r="X11" i="30"/>
  <c r="BP11" i="30"/>
  <c r="Y7" i="31"/>
  <c r="X7" i="31"/>
  <c r="BP7" i="31"/>
  <c r="Y21" i="30"/>
  <c r="X21" i="30"/>
  <c r="BP21" i="30"/>
  <c r="Y6" i="31"/>
  <c r="X6" i="31"/>
  <c r="BP6" i="31"/>
  <c r="Y12" i="30"/>
  <c r="X12" i="30"/>
  <c r="BP12" i="30"/>
  <c r="BM23" i="30"/>
  <c r="Y23" i="30"/>
  <c r="X23" i="30"/>
  <c r="BP23" i="30"/>
  <c r="Y13" i="31"/>
  <c r="X13" i="31"/>
  <c r="BP13" i="31"/>
  <c r="BM27" i="31"/>
  <c r="Y27" i="31"/>
  <c r="X27" i="31"/>
  <c r="BP27" i="31"/>
  <c r="BP19" i="29"/>
  <c r="Y19" i="29"/>
  <c r="X19" i="29"/>
  <c r="Y8" i="31"/>
  <c r="X8" i="31"/>
  <c r="BP8" i="31"/>
  <c r="BM20" i="29"/>
  <c r="Y20" i="29"/>
  <c r="X20" i="29"/>
  <c r="BP20" i="29"/>
  <c r="BM11" i="29"/>
  <c r="Y11" i="29"/>
  <c r="X11" i="29"/>
  <c r="BP11" i="29"/>
  <c r="Y6" i="29"/>
  <c r="X6" i="29"/>
  <c r="BP6" i="29"/>
  <c r="Y24" i="30"/>
  <c r="X24" i="30"/>
  <c r="BP24" i="30"/>
  <c r="BM24" i="29"/>
  <c r="Y24" i="29"/>
  <c r="X24" i="29"/>
  <c r="BP24" i="29"/>
  <c r="BM14" i="29"/>
  <c r="Y14" i="29"/>
  <c r="X14" i="29"/>
  <c r="BP14" i="29"/>
  <c r="BM18" i="29"/>
  <c r="Y18" i="29"/>
  <c r="X18" i="29"/>
  <c r="BP18" i="29"/>
  <c r="Y15" i="31"/>
  <c r="X15" i="31"/>
  <c r="BP15" i="31"/>
  <c r="BM18" i="31"/>
  <c r="Y18" i="31"/>
  <c r="X18" i="31"/>
  <c r="BP18" i="31"/>
  <c r="Y17" i="31"/>
  <c r="X17" i="31"/>
  <c r="BP17" i="31"/>
  <c r="BM19" i="30"/>
  <c r="Y19" i="30"/>
  <c r="X19" i="30"/>
  <c r="BP19" i="30"/>
  <c r="X16" i="31"/>
  <c r="BM10" i="31"/>
  <c r="Y10" i="31"/>
  <c r="X10" i="31"/>
  <c r="BP10" i="31"/>
  <c r="AA12" i="31"/>
  <c r="AG12" i="31" s="1"/>
  <c r="BO12" i="31"/>
  <c r="BM18" i="32"/>
  <c r="BP18" i="32"/>
  <c r="Y18" i="32"/>
  <c r="X18" i="32"/>
  <c r="BM22" i="32"/>
  <c r="BP22" i="32"/>
  <c r="Y22" i="32"/>
  <c r="X22" i="32"/>
  <c r="BP20" i="32"/>
  <c r="Y20" i="32"/>
  <c r="X20" i="32"/>
  <c r="BM15" i="32"/>
  <c r="Y15" i="32"/>
  <c r="X15" i="32"/>
  <c r="BP15" i="32"/>
  <c r="BM23" i="32"/>
  <c r="Y23" i="32"/>
  <c r="X23" i="32"/>
  <c r="BP23" i="32"/>
  <c r="Y7" i="32"/>
  <c r="X7" i="32"/>
  <c r="BP7" i="32"/>
  <c r="BP8" i="32"/>
  <c r="Y8" i="32"/>
  <c r="X8" i="32"/>
  <c r="BM19" i="32"/>
  <c r="Y19" i="32"/>
  <c r="X19" i="32"/>
  <c r="BP19" i="32"/>
  <c r="Y21" i="32"/>
  <c r="X21" i="32"/>
  <c r="BP21" i="32"/>
  <c r="AH25" i="30"/>
  <c r="AJ25" i="30" s="1"/>
  <c r="Y25" i="30"/>
  <c r="N25" i="30" s="1"/>
  <c r="X25" i="30"/>
  <c r="Q25" i="30" s="1"/>
  <c r="BP25" i="30"/>
  <c r="Y14" i="30"/>
  <c r="X14" i="30"/>
  <c r="BP14" i="30"/>
  <c r="Y9" i="30"/>
  <c r="X9" i="30"/>
  <c r="BP9" i="30"/>
  <c r="BM17" i="30"/>
  <c r="Y17" i="30"/>
  <c r="X17" i="30"/>
  <c r="BP17" i="30"/>
  <c r="BP25" i="29"/>
  <c r="Y25" i="29"/>
  <c r="X25" i="29"/>
  <c r="BM22" i="29"/>
  <c r="Y22" i="29"/>
  <c r="X22" i="29"/>
  <c r="BP22" i="29"/>
  <c r="AA13" i="29"/>
  <c r="AG13" i="29" s="1"/>
  <c r="BO13" i="29"/>
  <c r="AH26" i="29"/>
  <c r="AJ26" i="29" s="1"/>
  <c r="Y26" i="29"/>
  <c r="P26" i="29" s="1"/>
  <c r="X26" i="29"/>
  <c r="Q26" i="29" s="1"/>
  <c r="BP26" i="29"/>
  <c r="Y6" i="30"/>
  <c r="X6" i="30"/>
  <c r="BP6" i="30"/>
  <c r="Y24" i="31"/>
  <c r="X24" i="31"/>
  <c r="BP24" i="31"/>
  <c r="Y20" i="30"/>
  <c r="X20" i="30"/>
  <c r="BP20" i="30"/>
  <c r="BM13" i="30"/>
  <c r="Y13" i="30"/>
  <c r="X13" i="30"/>
  <c r="BP13" i="30"/>
  <c r="BM25" i="31"/>
  <c r="Y25" i="31"/>
  <c r="X25" i="31"/>
  <c r="BP25" i="31"/>
  <c r="X20" i="31"/>
  <c r="X9" i="29"/>
  <c r="Y16" i="31"/>
  <c r="X24" i="28"/>
  <c r="Y7" i="28"/>
  <c r="X7" i="28"/>
  <c r="BP18" i="28"/>
  <c r="Y18" i="28"/>
  <c r="X18" i="28"/>
  <c r="BP9" i="28"/>
  <c r="X9" i="28"/>
  <c r="Y9" i="28"/>
  <c r="X25" i="28"/>
  <c r="Y25" i="28"/>
  <c r="BP20" i="28"/>
  <c r="Y20" i="28"/>
  <c r="X20" i="28"/>
  <c r="BP19" i="28"/>
  <c r="Y19" i="28"/>
  <c r="X19" i="28"/>
  <c r="Y27" i="28"/>
  <c r="X27" i="28"/>
  <c r="Y8" i="28"/>
  <c r="X8" i="28"/>
  <c r="Y12" i="28"/>
  <c r="X12" i="28"/>
  <c r="X22" i="28"/>
  <c r="Y22" i="28"/>
  <c r="X26" i="28"/>
  <c r="Y26" i="28"/>
  <c r="N26" i="28" s="1"/>
  <c r="X14" i="28"/>
  <c r="Y14" i="28"/>
  <c r="BP17" i="28"/>
  <c r="X17" i="28"/>
  <c r="Y17" i="28"/>
  <c r="Y15" i="28"/>
  <c r="X15" i="28"/>
  <c r="X13" i="28"/>
  <c r="Y13" i="28"/>
  <c r="X10" i="28"/>
  <c r="Y10" i="28"/>
  <c r="X16" i="28"/>
  <c r="BP6" i="28"/>
  <c r="Y6" i="28"/>
  <c r="X6" i="28"/>
  <c r="BP21" i="28"/>
  <c r="X21" i="28"/>
  <c r="Y21" i="28"/>
  <c r="BP11" i="28"/>
  <c r="Y11" i="28"/>
  <c r="X11" i="28"/>
  <c r="BP23" i="28"/>
  <c r="Y23" i="28"/>
  <c r="X23" i="28"/>
  <c r="AA6" i="28"/>
  <c r="AG6" i="28" s="1"/>
  <c r="BO6" i="28"/>
  <c r="BM25" i="28"/>
  <c r="BP25" i="28"/>
  <c r="AA16" i="28"/>
  <c r="AG16" i="28" s="1"/>
  <c r="BO16" i="28"/>
  <c r="BM27" i="28"/>
  <c r="BP27" i="28"/>
  <c r="BM8" i="28"/>
  <c r="BP8" i="28"/>
  <c r="BM12" i="28"/>
  <c r="BP12" i="28"/>
  <c r="AA24" i="28"/>
  <c r="AG24" i="28" s="1"/>
  <c r="BO24" i="28"/>
  <c r="BM7" i="28"/>
  <c r="BP7" i="28"/>
  <c r="BM22" i="28"/>
  <c r="BP22" i="28"/>
  <c r="BM26" i="28"/>
  <c r="BP26" i="28"/>
  <c r="BM14" i="28"/>
  <c r="BP14" i="28"/>
  <c r="BM15" i="28"/>
  <c r="BP15" i="28"/>
  <c r="BM13" i="28"/>
  <c r="BP13" i="28"/>
  <c r="BM10" i="28"/>
  <c r="BP10" i="28"/>
  <c r="W26" i="28"/>
  <c r="AH26" i="28"/>
  <c r="AJ26" i="28" s="1"/>
  <c r="O26" i="28"/>
  <c r="AB26" i="28"/>
  <c r="AD26" i="28" s="1"/>
  <c r="M26" i="28"/>
  <c r="AB26" i="29"/>
  <c r="AD26" i="29" s="1"/>
  <c r="M25" i="30"/>
  <c r="W25" i="30"/>
  <c r="M26" i="29"/>
  <c r="W26" i="29"/>
  <c r="BS29" i="29"/>
  <c r="BS27" i="30"/>
  <c r="BR28" i="31"/>
  <c r="BJ28" i="31"/>
  <c r="BR17" i="28"/>
  <c r="BJ17" i="28"/>
  <c r="BS6" i="29"/>
  <c r="BM6" i="29"/>
  <c r="BJ7" i="30"/>
  <c r="BR7" i="30"/>
  <c r="BJ11" i="31"/>
  <c r="BR11" i="31"/>
  <c r="BR24" i="30"/>
  <c r="BJ24" i="30"/>
  <c r="BJ6" i="30"/>
  <c r="BR6" i="30"/>
  <c r="BR14" i="28"/>
  <c r="BJ14" i="28"/>
  <c r="BR24" i="31"/>
  <c r="BJ24" i="31"/>
  <c r="BR20" i="30"/>
  <c r="BJ20" i="30"/>
  <c r="BR17" i="31"/>
  <c r="BJ17" i="31"/>
  <c r="BR7" i="29"/>
  <c r="BJ7" i="29"/>
  <c r="BR19" i="30"/>
  <c r="BJ19" i="30"/>
  <c r="BL29" i="28"/>
  <c r="BI29" i="28"/>
  <c r="BI28" i="29"/>
  <c r="BL28" i="29"/>
  <c r="BL29" i="29"/>
  <c r="BI29" i="29"/>
  <c r="BI27" i="30"/>
  <c r="BL27" i="30"/>
  <c r="BL29" i="31"/>
  <c r="BI29" i="31"/>
  <c r="AA6" i="29"/>
  <c r="AG6" i="29" s="1"/>
  <c r="BJ6" i="28"/>
  <c r="BR6" i="28"/>
  <c r="BR14" i="30"/>
  <c r="BJ14" i="30"/>
  <c r="BR9" i="30"/>
  <c r="BJ9" i="30"/>
  <c r="BR12" i="30"/>
  <c r="BJ12" i="30"/>
  <c r="BR15" i="30"/>
  <c r="BJ15" i="30"/>
  <c r="BR20" i="28"/>
  <c r="BJ20" i="28"/>
  <c r="BR19" i="28"/>
  <c r="BJ19" i="28"/>
  <c r="BJ13" i="31"/>
  <c r="BR13" i="31"/>
  <c r="BJ27" i="29"/>
  <c r="BR27" i="29"/>
  <c r="BR25" i="29"/>
  <c r="BJ25" i="29"/>
  <c r="BS24" i="28"/>
  <c r="BM24" i="28"/>
  <c r="BR8" i="31"/>
  <c r="BJ8" i="31"/>
  <c r="BR26" i="28"/>
  <c r="BJ26" i="28"/>
  <c r="BM14" i="30"/>
  <c r="BM12" i="30"/>
  <c r="BR13" i="28"/>
  <c r="BJ13" i="28"/>
  <c r="BR23" i="31"/>
  <c r="BJ23" i="31"/>
  <c r="BR16" i="29"/>
  <c r="BJ16" i="29"/>
  <c r="BR14" i="29"/>
  <c r="BJ14" i="29"/>
  <c r="BM20" i="31"/>
  <c r="BS20" i="31"/>
  <c r="BM19" i="28"/>
  <c r="BJ10" i="29"/>
  <c r="BR10" i="29"/>
  <c r="BR16" i="30"/>
  <c r="BJ16" i="30"/>
  <c r="BJ9" i="31"/>
  <c r="BR9" i="31"/>
  <c r="BR15" i="31"/>
  <c r="BJ15" i="31"/>
  <c r="BM7" i="29"/>
  <c r="BR18" i="31"/>
  <c r="BJ18" i="31"/>
  <c r="BR18" i="28"/>
  <c r="BJ18" i="28"/>
  <c r="BR25" i="31"/>
  <c r="BJ25" i="31"/>
  <c r="BM25" i="29"/>
  <c r="BM20" i="30"/>
  <c r="BS29" i="28"/>
  <c r="BS6" i="30"/>
  <c r="BM6" i="30"/>
  <c r="BJ21" i="31"/>
  <c r="BR21" i="31"/>
  <c r="BR27" i="28"/>
  <c r="BJ27" i="28"/>
  <c r="BJ11" i="30"/>
  <c r="BR11" i="30"/>
  <c r="BR21" i="30"/>
  <c r="BJ21" i="30"/>
  <c r="BJ6" i="31"/>
  <c r="BR6" i="31"/>
  <c r="BR15" i="29"/>
  <c r="BJ15" i="29"/>
  <c r="BJ26" i="30"/>
  <c r="BR26" i="30"/>
  <c r="BR22" i="31"/>
  <c r="BJ22" i="31"/>
  <c r="BM21" i="31"/>
  <c r="BR12" i="29"/>
  <c r="BJ12" i="29"/>
  <c r="BR22" i="29"/>
  <c r="BJ22" i="29"/>
  <c r="BS13" i="29"/>
  <c r="BM13" i="29"/>
  <c r="BR21" i="28"/>
  <c r="BJ21" i="28"/>
  <c r="BS16" i="28"/>
  <c r="BM16" i="28"/>
  <c r="BR20" i="29"/>
  <c r="BJ20" i="29"/>
  <c r="BM21" i="30"/>
  <c r="BR15" i="28"/>
  <c r="BJ15" i="28"/>
  <c r="BM9" i="30"/>
  <c r="BR8" i="28"/>
  <c r="BJ8" i="28"/>
  <c r="BR18" i="30"/>
  <c r="BJ18" i="30"/>
  <c r="BM15" i="30"/>
  <c r="BM21" i="28"/>
  <c r="BR10" i="31"/>
  <c r="BJ10" i="31"/>
  <c r="BJ11" i="28"/>
  <c r="BR11" i="28"/>
  <c r="BJ23" i="28"/>
  <c r="BR23" i="28"/>
  <c r="BR21" i="29"/>
  <c r="BJ21" i="29"/>
  <c r="BR8" i="29"/>
  <c r="BJ8" i="29"/>
  <c r="BM15" i="31"/>
  <c r="BR12" i="28"/>
  <c r="BJ12" i="28"/>
  <c r="BJ10" i="28"/>
  <c r="BR10" i="28"/>
  <c r="BI28" i="28"/>
  <c r="BL28" i="28"/>
  <c r="BS29" i="31"/>
  <c r="BR7" i="31"/>
  <c r="BJ7" i="31"/>
  <c r="BR17" i="30"/>
  <c r="BJ17" i="30"/>
  <c r="BJ19" i="29"/>
  <c r="BR19" i="29"/>
  <c r="BR22" i="28"/>
  <c r="BJ22" i="28"/>
  <c r="BM17" i="28"/>
  <c r="BS6" i="28"/>
  <c r="BM6" i="28"/>
  <c r="BJ11" i="29"/>
  <c r="BR11" i="29"/>
  <c r="BS6" i="31"/>
  <c r="BM6" i="31"/>
  <c r="BR24" i="29"/>
  <c r="BJ24" i="29"/>
  <c r="BR14" i="31"/>
  <c r="BJ14" i="31"/>
  <c r="BM19" i="29"/>
  <c r="BJ22" i="30"/>
  <c r="BR22" i="30"/>
  <c r="BS28" i="29"/>
  <c r="BS28" i="28"/>
  <c r="BL28" i="31"/>
  <c r="BH28" i="31"/>
  <c r="X28" i="31" s="1"/>
  <c r="BR25" i="30"/>
  <c r="BJ25" i="30"/>
  <c r="BM25" i="30"/>
  <c r="BR7" i="28"/>
  <c r="BJ7" i="28"/>
  <c r="BM24" i="30"/>
  <c r="BR8" i="30"/>
  <c r="BJ8" i="30"/>
  <c r="BR9" i="28"/>
  <c r="BJ9" i="28"/>
  <c r="BR25" i="28"/>
  <c r="BJ25" i="28"/>
  <c r="BR23" i="30"/>
  <c r="BJ23" i="30"/>
  <c r="BJ27" i="31"/>
  <c r="BR27" i="31"/>
  <c r="BS9" i="29"/>
  <c r="BM9" i="29"/>
  <c r="BR26" i="29"/>
  <c r="BJ26" i="29"/>
  <c r="BM26" i="29"/>
  <c r="BR23" i="29"/>
  <c r="BJ23" i="29"/>
  <c r="BM7" i="31"/>
  <c r="BJ6" i="29"/>
  <c r="BR6" i="29"/>
  <c r="BS16" i="31"/>
  <c r="BM16" i="31"/>
  <c r="BM9" i="28"/>
  <c r="BM7" i="30"/>
  <c r="BS7" i="30"/>
  <c r="BM20" i="28"/>
  <c r="BM13" i="31"/>
  <c r="BJ18" i="29"/>
  <c r="BR18" i="29"/>
  <c r="BM17" i="31"/>
  <c r="BM24" i="31"/>
  <c r="BR13" i="30"/>
  <c r="BJ13" i="30"/>
  <c r="BJ19" i="31"/>
  <c r="BR19" i="31"/>
  <c r="BM8" i="31"/>
  <c r="BM8" i="29"/>
  <c r="BR17" i="29"/>
  <c r="BJ17" i="29"/>
  <c r="BM18" i="28"/>
  <c r="BS12" i="31"/>
  <c r="BM12" i="31"/>
  <c r="BJ10" i="30"/>
  <c r="BR10" i="30"/>
  <c r="BM11" i="28"/>
  <c r="BM23" i="28"/>
  <c r="BS29" i="32"/>
  <c r="BR25" i="32"/>
  <c r="BJ25" i="32"/>
  <c r="BR26" i="32"/>
  <c r="BJ26" i="32"/>
  <c r="BM26" i="32"/>
  <c r="BR24" i="32"/>
  <c r="BJ24" i="32"/>
  <c r="BR11" i="32"/>
  <c r="BJ11" i="32"/>
  <c r="BR21" i="32"/>
  <c r="BJ21" i="32"/>
  <c r="BL29" i="32"/>
  <c r="BI29" i="32"/>
  <c r="M26" i="32"/>
  <c r="BJ15" i="32"/>
  <c r="BR15" i="32"/>
  <c r="BJ23" i="32"/>
  <c r="BR23" i="32"/>
  <c r="BJ14" i="32"/>
  <c r="BR14" i="32"/>
  <c r="BR10" i="32"/>
  <c r="BJ10" i="32"/>
  <c r="BM21" i="32"/>
  <c r="BR7" i="32"/>
  <c r="BJ7" i="32"/>
  <c r="BM10" i="32"/>
  <c r="BR16" i="32"/>
  <c r="BJ16" i="32"/>
  <c r="BL28" i="32"/>
  <c r="BI28" i="32"/>
  <c r="BM28" i="32" s="1"/>
  <c r="W26" i="32"/>
  <c r="BJ6" i="32"/>
  <c r="BR6" i="32"/>
  <c r="BR12" i="32"/>
  <c r="BJ12" i="32"/>
  <c r="BM24" i="32"/>
  <c r="BM25" i="32"/>
  <c r="BR17" i="32"/>
  <c r="BJ17" i="32"/>
  <c r="BR8" i="32"/>
  <c r="BJ8" i="32"/>
  <c r="BJ9" i="32"/>
  <c r="BR9" i="32"/>
  <c r="BM7" i="32"/>
  <c r="BM11" i="32"/>
  <c r="BR13" i="32"/>
  <c r="BJ13" i="32"/>
  <c r="BJ27" i="32"/>
  <c r="BR27" i="32"/>
  <c r="BR19" i="32"/>
  <c r="BJ19" i="32"/>
  <c r="BS28" i="32"/>
  <c r="AH26" i="32"/>
  <c r="AJ26" i="32" s="1"/>
  <c r="AB26" i="32"/>
  <c r="AD26" i="32" s="1"/>
  <c r="BJ18" i="32"/>
  <c r="BR18" i="32"/>
  <c r="BJ22" i="32"/>
  <c r="BR22" i="32"/>
  <c r="BR20" i="32"/>
  <c r="BJ20" i="32"/>
  <c r="BM6" i="32"/>
  <c r="BS6" i="32"/>
  <c r="BM20" i="32"/>
  <c r="BM8" i="32"/>
  <c r="AY13" i="15"/>
  <c r="BA13" i="15" s="1"/>
  <c r="M6" i="32"/>
  <c r="AH6" i="32"/>
  <c r="AJ6" i="32" s="1"/>
  <c r="AB6" i="32"/>
  <c r="AD6" i="32" s="1"/>
  <c r="W6" i="32"/>
  <c r="M13" i="29"/>
  <c r="AH13" i="29"/>
  <c r="AJ13" i="29" s="1"/>
  <c r="AB13" i="29"/>
  <c r="AD13" i="29" s="1"/>
  <c r="W13" i="29"/>
  <c r="AB15" i="32"/>
  <c r="AD15" i="32" s="1"/>
  <c r="W15" i="32"/>
  <c r="AH15" i="32"/>
  <c r="AJ15" i="32" s="1"/>
  <c r="M15" i="32"/>
  <c r="AB18" i="31"/>
  <c r="AD18" i="31" s="1"/>
  <c r="AH18" i="31"/>
  <c r="AJ18" i="31" s="1"/>
  <c r="M18" i="31"/>
  <c r="W18" i="31"/>
  <c r="W24" i="29"/>
  <c r="AB24" i="29"/>
  <c r="AD24" i="29" s="1"/>
  <c r="M24" i="29"/>
  <c r="AH24" i="29"/>
  <c r="AJ24" i="29" s="1"/>
  <c r="M18" i="30"/>
  <c r="W18" i="30"/>
  <c r="AH18" i="30"/>
  <c r="AJ18" i="30" s="1"/>
  <c r="AB18" i="30"/>
  <c r="AD18" i="30" s="1"/>
  <c r="AH12" i="30"/>
  <c r="AJ12" i="30" s="1"/>
  <c r="AB12" i="30"/>
  <c r="AD12" i="30" s="1"/>
  <c r="W12" i="30"/>
  <c r="M12" i="30"/>
  <c r="AH20" i="31"/>
  <c r="AJ20" i="31" s="1"/>
  <c r="AB20" i="31"/>
  <c r="AD20" i="31" s="1"/>
  <c r="W20" i="31"/>
  <c r="M20" i="31"/>
  <c r="AH9" i="32"/>
  <c r="AJ9" i="32" s="1"/>
  <c r="M9" i="32"/>
  <c r="AB9" i="32"/>
  <c r="AD9" i="32" s="1"/>
  <c r="W9" i="32"/>
  <c r="AH21" i="32"/>
  <c r="AJ21" i="32" s="1"/>
  <c r="M21" i="32"/>
  <c r="W21" i="32"/>
  <c r="AB21" i="32"/>
  <c r="AD21" i="32" s="1"/>
  <c r="AH18" i="28"/>
  <c r="AJ18" i="28" s="1"/>
  <c r="M18" i="28"/>
  <c r="W18" i="28"/>
  <c r="AB18" i="28"/>
  <c r="AD18" i="28" s="1"/>
  <c r="M7" i="29"/>
  <c r="AH7" i="29"/>
  <c r="AJ7" i="29" s="1"/>
  <c r="AB7" i="29"/>
  <c r="AD7" i="29" s="1"/>
  <c r="W7" i="29"/>
  <c r="AH20" i="30"/>
  <c r="AJ20" i="30" s="1"/>
  <c r="M20" i="30"/>
  <c r="W20" i="30"/>
  <c r="AB20" i="30"/>
  <c r="AD20" i="30" s="1"/>
  <c r="W21" i="29"/>
  <c r="AH21" i="29"/>
  <c r="AJ21" i="29" s="1"/>
  <c r="M21" i="29"/>
  <c r="AB21" i="29"/>
  <c r="AD21" i="29" s="1"/>
  <c r="M16" i="28"/>
  <c r="AH16" i="28"/>
  <c r="AJ16" i="28" s="1"/>
  <c r="AB16" i="28"/>
  <c r="AD16" i="28" s="1"/>
  <c r="W16" i="28"/>
  <c r="W13" i="28"/>
  <c r="M13" i="28"/>
  <c r="AH13" i="28"/>
  <c r="AJ13" i="28" s="1"/>
  <c r="AB13" i="28"/>
  <c r="AD13" i="28" s="1"/>
  <c r="W22" i="29"/>
  <c r="AH22" i="29"/>
  <c r="AJ22" i="29" s="1"/>
  <c r="M22" i="29"/>
  <c r="AB22" i="29"/>
  <c r="AD22" i="29" s="1"/>
  <c r="M22" i="30"/>
  <c r="AH22" i="30"/>
  <c r="AJ22" i="30" s="1"/>
  <c r="W22" i="30"/>
  <c r="AB22" i="30"/>
  <c r="AD22" i="30" s="1"/>
  <c r="W8" i="29"/>
  <c r="AH8" i="29"/>
  <c r="AJ8" i="29" s="1"/>
  <c r="M8" i="29"/>
  <c r="AB8" i="29"/>
  <c r="AD8" i="29" s="1"/>
  <c r="AB17" i="32"/>
  <c r="AD17" i="32" s="1"/>
  <c r="W17" i="32"/>
  <c r="AH17" i="32"/>
  <c r="AJ17" i="32" s="1"/>
  <c r="M17" i="32"/>
  <c r="M21" i="28"/>
  <c r="AH21" i="28"/>
  <c r="AJ21" i="28" s="1"/>
  <c r="AB21" i="28"/>
  <c r="AD21" i="28" s="1"/>
  <c r="W21" i="28"/>
  <c r="M24" i="32"/>
  <c r="AH24" i="32"/>
  <c r="AJ24" i="32" s="1"/>
  <c r="AB24" i="32"/>
  <c r="AD24" i="32" s="1"/>
  <c r="W24" i="32"/>
  <c r="M11" i="31"/>
  <c r="AB11" i="31"/>
  <c r="AD11" i="31" s="1"/>
  <c r="AH11" i="31"/>
  <c r="AJ11" i="31" s="1"/>
  <c r="W11" i="31"/>
  <c r="M16" i="32"/>
  <c r="AH16" i="32"/>
  <c r="AJ16" i="32" s="1"/>
  <c r="AB16" i="32"/>
  <c r="AD16" i="32" s="1"/>
  <c r="W16" i="32"/>
  <c r="AB6" i="28"/>
  <c r="AD6" i="28" s="1"/>
  <c r="W6" i="28"/>
  <c r="M6" i="28"/>
  <c r="AH6" i="28"/>
  <c r="AJ6" i="28" s="1"/>
  <c r="M7" i="28"/>
  <c r="W7" i="28"/>
  <c r="AH7" i="28"/>
  <c r="AJ7" i="28" s="1"/>
  <c r="AB7" i="28"/>
  <c r="AD7" i="28" s="1"/>
  <c r="M6" i="31"/>
  <c r="AH6" i="31"/>
  <c r="AJ6" i="31" s="1"/>
  <c r="AB6" i="31"/>
  <c r="AD6" i="31" s="1"/>
  <c r="W6" i="31"/>
  <c r="W9" i="28"/>
  <c r="M9" i="28"/>
  <c r="AB9" i="28"/>
  <c r="AD9" i="28" s="1"/>
  <c r="AH9" i="28"/>
  <c r="AJ9" i="28" s="1"/>
  <c r="AH7" i="30"/>
  <c r="AJ7" i="30" s="1"/>
  <c r="AB7" i="30"/>
  <c r="AD7" i="30" s="1"/>
  <c r="W7" i="30"/>
  <c r="M7" i="30"/>
  <c r="W17" i="30"/>
  <c r="AB17" i="30"/>
  <c r="AD17" i="30" s="1"/>
  <c r="M17" i="30"/>
  <c r="AH17" i="30"/>
  <c r="AJ17" i="30" s="1"/>
  <c r="AH15" i="29"/>
  <c r="AJ15" i="29" s="1"/>
  <c r="AB15" i="29"/>
  <c r="AD15" i="29" s="1"/>
  <c r="M15" i="29"/>
  <c r="W15" i="29"/>
  <c r="M25" i="28"/>
  <c r="AB25" i="28"/>
  <c r="AD25" i="28" s="1"/>
  <c r="AH25" i="28"/>
  <c r="AJ25" i="28" s="1"/>
  <c r="W25" i="28"/>
  <c r="AH11" i="32"/>
  <c r="AJ11" i="32" s="1"/>
  <c r="AB11" i="32"/>
  <c r="AD11" i="32" s="1"/>
  <c r="W11" i="32"/>
  <c r="M11" i="32"/>
  <c r="M20" i="28"/>
  <c r="W20" i="28"/>
  <c r="AB20" i="28"/>
  <c r="AD20" i="28" s="1"/>
  <c r="AH20" i="28"/>
  <c r="AJ20" i="28" s="1"/>
  <c r="AH13" i="31"/>
  <c r="AJ13" i="31" s="1"/>
  <c r="AB13" i="31"/>
  <c r="AD13" i="31" s="1"/>
  <c r="M13" i="31"/>
  <c r="W13" i="31"/>
  <c r="AB11" i="29"/>
  <c r="AD11" i="29" s="1"/>
  <c r="AH11" i="29"/>
  <c r="AJ11" i="29" s="1"/>
  <c r="W11" i="29"/>
  <c r="M11" i="29"/>
  <c r="M24" i="30"/>
  <c r="AB24" i="30"/>
  <c r="AD24" i="30" s="1"/>
  <c r="W24" i="30"/>
  <c r="AH24" i="30"/>
  <c r="AJ24" i="30" s="1"/>
  <c r="AH17" i="29"/>
  <c r="AJ17" i="29" s="1"/>
  <c r="M17" i="29"/>
  <c r="AB17" i="29"/>
  <c r="AD17" i="29" s="1"/>
  <c r="W17" i="29"/>
  <c r="AB16" i="29"/>
  <c r="AD16" i="29" s="1"/>
  <c r="W16" i="29"/>
  <c r="M16" i="29"/>
  <c r="AH16" i="29"/>
  <c r="AJ16" i="29" s="1"/>
  <c r="M10" i="28"/>
  <c r="W10" i="28"/>
  <c r="AB10" i="28"/>
  <c r="AD10" i="28" s="1"/>
  <c r="AH10" i="28"/>
  <c r="AJ10" i="28" s="1"/>
  <c r="AB14" i="29"/>
  <c r="AD14" i="29" s="1"/>
  <c r="W14" i="29"/>
  <c r="AH14" i="29"/>
  <c r="AJ14" i="29" s="1"/>
  <c r="M14" i="29"/>
  <c r="M14" i="30"/>
  <c r="AH14" i="30"/>
  <c r="AJ14" i="30" s="1"/>
  <c r="AB14" i="30"/>
  <c r="AD14" i="30" s="1"/>
  <c r="W14" i="30"/>
  <c r="M7" i="32"/>
  <c r="AB7" i="32"/>
  <c r="AD7" i="32" s="1"/>
  <c r="AH7" i="32"/>
  <c r="AJ7" i="32" s="1"/>
  <c r="W7" i="32"/>
  <c r="AB8" i="30"/>
  <c r="AD8" i="30" s="1"/>
  <c r="W8" i="30"/>
  <c r="AH8" i="30"/>
  <c r="AJ8" i="30" s="1"/>
  <c r="M8" i="30"/>
  <c r="AH8" i="32"/>
  <c r="AJ8" i="32" s="1"/>
  <c r="AB8" i="32"/>
  <c r="AD8" i="32" s="1"/>
  <c r="W8" i="32"/>
  <c r="M8" i="32"/>
  <c r="AH15" i="30"/>
  <c r="AJ15" i="30" s="1"/>
  <c r="AB15" i="30"/>
  <c r="AD15" i="30" s="1"/>
  <c r="W15" i="30"/>
  <c r="M15" i="30"/>
  <c r="AH19" i="28"/>
  <c r="AJ19" i="28" s="1"/>
  <c r="AB19" i="28"/>
  <c r="AD19" i="28" s="1"/>
  <c r="W19" i="28"/>
  <c r="M19" i="28"/>
  <c r="AH13" i="30"/>
  <c r="AJ13" i="30" s="1"/>
  <c r="AB13" i="30"/>
  <c r="AD13" i="30" s="1"/>
  <c r="W13" i="30"/>
  <c r="M13" i="30"/>
  <c r="M19" i="31"/>
  <c r="AH19" i="31"/>
  <c r="AJ19" i="31" s="1"/>
  <c r="AB19" i="31"/>
  <c r="AD19" i="31" s="1"/>
  <c r="W19" i="31"/>
  <c r="M12" i="32"/>
  <c r="W12" i="32"/>
  <c r="AB12" i="32"/>
  <c r="AD12" i="32" s="1"/>
  <c r="AH12" i="32"/>
  <c r="AJ12" i="32" s="1"/>
  <c r="AB12" i="31"/>
  <c r="AD12" i="31" s="1"/>
  <c r="AH12" i="31"/>
  <c r="AJ12" i="31" s="1"/>
  <c r="W12" i="31"/>
  <c r="M12" i="31"/>
  <c r="W24" i="31"/>
  <c r="AB24" i="31"/>
  <c r="AD24" i="31" s="1"/>
  <c r="M24" i="31"/>
  <c r="AH24" i="31"/>
  <c r="AJ24" i="31" s="1"/>
  <c r="AH19" i="29"/>
  <c r="AJ19" i="29" s="1"/>
  <c r="AB19" i="29"/>
  <c r="AD19" i="29" s="1"/>
  <c r="W19" i="29"/>
  <c r="M19" i="29"/>
  <c r="M22" i="31"/>
  <c r="AH22" i="31"/>
  <c r="AJ22" i="31" s="1"/>
  <c r="AB22" i="31"/>
  <c r="AD22" i="31" s="1"/>
  <c r="W22" i="31"/>
  <c r="AH9" i="31"/>
  <c r="AJ9" i="31" s="1"/>
  <c r="AB9" i="31"/>
  <c r="AD9" i="31" s="1"/>
  <c r="W9" i="31"/>
  <c r="M9" i="31"/>
  <c r="W23" i="28"/>
  <c r="AH23" i="28"/>
  <c r="AJ23" i="28" s="1"/>
  <c r="M23" i="28"/>
  <c r="AB23" i="28"/>
  <c r="AD23" i="28" s="1"/>
  <c r="AB15" i="31"/>
  <c r="AD15" i="31" s="1"/>
  <c r="M15" i="31"/>
  <c r="W15" i="31"/>
  <c r="AH15" i="31"/>
  <c r="AJ15" i="31" s="1"/>
  <c r="AH12" i="29"/>
  <c r="AJ12" i="29" s="1"/>
  <c r="AB12" i="29"/>
  <c r="AD12" i="29" s="1"/>
  <c r="W12" i="29"/>
  <c r="M12" i="29"/>
  <c r="AB6" i="29"/>
  <c r="AD6" i="29" s="1"/>
  <c r="W6" i="29"/>
  <c r="AH6" i="29"/>
  <c r="AJ6" i="29" s="1"/>
  <c r="M6" i="29"/>
  <c r="M23" i="31"/>
  <c r="W23" i="31"/>
  <c r="AH23" i="31"/>
  <c r="AJ23" i="31" s="1"/>
  <c r="AB23" i="31"/>
  <c r="AD23" i="31" s="1"/>
  <c r="M14" i="31"/>
  <c r="AH14" i="31"/>
  <c r="AJ14" i="31" s="1"/>
  <c r="AB14" i="31"/>
  <c r="AD14" i="31" s="1"/>
  <c r="W14" i="31"/>
  <c r="AH22" i="28"/>
  <c r="AJ22" i="28" s="1"/>
  <c r="M22" i="28"/>
  <c r="AB22" i="28"/>
  <c r="AD22" i="28" s="1"/>
  <c r="W22" i="28"/>
  <c r="AH14" i="32"/>
  <c r="AJ14" i="32" s="1"/>
  <c r="M14" i="32"/>
  <c r="AB14" i="32"/>
  <c r="AD14" i="32" s="1"/>
  <c r="W14" i="32"/>
  <c r="AH12" i="28"/>
  <c r="AJ12" i="28" s="1"/>
  <c r="M12" i="28"/>
  <c r="W12" i="28"/>
  <c r="AB12" i="28"/>
  <c r="AD12" i="28" s="1"/>
  <c r="AH19" i="32"/>
  <c r="AJ19" i="32" s="1"/>
  <c r="AB19" i="32"/>
  <c r="AD19" i="32" s="1"/>
  <c r="M19" i="32"/>
  <c r="W19" i="32"/>
  <c r="AH20" i="29"/>
  <c r="AJ20" i="29" s="1"/>
  <c r="AB20" i="29"/>
  <c r="AD20" i="29" s="1"/>
  <c r="W20" i="29"/>
  <c r="M20" i="29"/>
  <c r="M23" i="29"/>
  <c r="AH23" i="29"/>
  <c r="AJ23" i="29" s="1"/>
  <c r="AB23" i="29"/>
  <c r="AD23" i="29" s="1"/>
  <c r="W23" i="29"/>
  <c r="M10" i="29"/>
  <c r="AH10" i="29"/>
  <c r="AJ10" i="29" s="1"/>
  <c r="AB10" i="29"/>
  <c r="AD10" i="29" s="1"/>
  <c r="W10" i="29"/>
  <c r="M25" i="29"/>
  <c r="AH25" i="29"/>
  <c r="AJ25" i="29" s="1"/>
  <c r="AB25" i="29"/>
  <c r="AD25" i="29" s="1"/>
  <c r="W25" i="29"/>
  <c r="M16" i="30"/>
  <c r="AB16" i="30"/>
  <c r="AD16" i="30" s="1"/>
  <c r="AH16" i="30"/>
  <c r="AJ16" i="30" s="1"/>
  <c r="W16" i="30"/>
  <c r="AB13" i="32"/>
  <c r="AD13" i="32" s="1"/>
  <c r="AH13" i="32"/>
  <c r="AJ13" i="32" s="1"/>
  <c r="M13" i="32"/>
  <c r="W13" i="32"/>
  <c r="AB10" i="32"/>
  <c r="AD10" i="32" s="1"/>
  <c r="W10" i="32"/>
  <c r="M10" i="32"/>
  <c r="AH10" i="32"/>
  <c r="AJ10" i="32" s="1"/>
  <c r="AH8" i="31"/>
  <c r="AJ8" i="31" s="1"/>
  <c r="AB8" i="31"/>
  <c r="AD8" i="31" s="1"/>
  <c r="W8" i="31"/>
  <c r="M8" i="31"/>
  <c r="AH24" i="28"/>
  <c r="AJ24" i="28" s="1"/>
  <c r="M24" i="28"/>
  <c r="AB24" i="28"/>
  <c r="AD24" i="28" s="1"/>
  <c r="W24" i="28"/>
  <c r="W25" i="32"/>
  <c r="AH25" i="32"/>
  <c r="AJ25" i="32" s="1"/>
  <c r="AB25" i="32"/>
  <c r="AD25" i="32" s="1"/>
  <c r="M25" i="32"/>
  <c r="AH17" i="28"/>
  <c r="AJ17" i="28" s="1"/>
  <c r="M17" i="28"/>
  <c r="AB17" i="28"/>
  <c r="AD17" i="28" s="1"/>
  <c r="W17" i="28"/>
  <c r="M23" i="30"/>
  <c r="W23" i="30"/>
  <c r="AB23" i="30"/>
  <c r="AD23" i="30" s="1"/>
  <c r="AH23" i="30"/>
  <c r="AJ23" i="30" s="1"/>
  <c r="M18" i="32"/>
  <c r="W18" i="32"/>
  <c r="AH18" i="32"/>
  <c r="AJ18" i="32" s="1"/>
  <c r="AB18" i="32"/>
  <c r="AD18" i="32" s="1"/>
  <c r="W17" i="31"/>
  <c r="AH17" i="31"/>
  <c r="AJ17" i="31" s="1"/>
  <c r="M17" i="31"/>
  <c r="AB17" i="31"/>
  <c r="AD17" i="31" s="1"/>
  <c r="M22" i="32"/>
  <c r="AH22" i="32"/>
  <c r="AJ22" i="32" s="1"/>
  <c r="AB22" i="32"/>
  <c r="AD22" i="32" s="1"/>
  <c r="W22" i="32"/>
  <c r="AB18" i="29"/>
  <c r="AD18" i="29" s="1"/>
  <c r="W18" i="29"/>
  <c r="AH18" i="29"/>
  <c r="AJ18" i="29" s="1"/>
  <c r="M18" i="29"/>
  <c r="W11" i="28"/>
  <c r="M11" i="28"/>
  <c r="AH11" i="28"/>
  <c r="AJ11" i="28" s="1"/>
  <c r="AB11" i="28"/>
  <c r="AD11" i="28" s="1"/>
  <c r="AB20" i="32"/>
  <c r="AD20" i="32" s="1"/>
  <c r="W20" i="32"/>
  <c r="AH20" i="32"/>
  <c r="AJ20" i="32" s="1"/>
  <c r="M20" i="32"/>
  <c r="AH10" i="31"/>
  <c r="AJ10" i="31" s="1"/>
  <c r="M10" i="31"/>
  <c r="W10" i="31"/>
  <c r="AB10" i="31"/>
  <c r="AD10" i="31" s="1"/>
  <c r="AB25" i="31"/>
  <c r="AD25" i="31" s="1"/>
  <c r="M25" i="31"/>
  <c r="AH25" i="31"/>
  <c r="AJ25" i="31" s="1"/>
  <c r="W25" i="31"/>
  <c r="AH19" i="30"/>
  <c r="AJ19" i="30" s="1"/>
  <c r="AB19" i="30"/>
  <c r="AD19" i="30" s="1"/>
  <c r="M19" i="30"/>
  <c r="W19" i="30"/>
  <c r="AB23" i="32"/>
  <c r="AD23" i="32" s="1"/>
  <c r="AH23" i="32"/>
  <c r="AJ23" i="32" s="1"/>
  <c r="W23" i="32"/>
  <c r="M23" i="32"/>
  <c r="M10" i="30"/>
  <c r="AH10" i="30"/>
  <c r="AJ10" i="30" s="1"/>
  <c r="AB10" i="30"/>
  <c r="AD10" i="30" s="1"/>
  <c r="W10" i="30"/>
  <c r="M21" i="31"/>
  <c r="AH21" i="31"/>
  <c r="AJ21" i="31" s="1"/>
  <c r="AB21" i="31"/>
  <c r="AD21" i="31" s="1"/>
  <c r="W21" i="31"/>
  <c r="M9" i="29"/>
  <c r="AH9" i="29"/>
  <c r="AJ9" i="29" s="1"/>
  <c r="AB9" i="29"/>
  <c r="AD9" i="29" s="1"/>
  <c r="W9" i="29"/>
  <c r="W8" i="28"/>
  <c r="AH8" i="28"/>
  <c r="AJ8" i="28" s="1"/>
  <c r="M8" i="28"/>
  <c r="AB8" i="28"/>
  <c r="AD8" i="28" s="1"/>
  <c r="M14" i="28"/>
  <c r="AH14" i="28"/>
  <c r="AJ14" i="28" s="1"/>
  <c r="AB14" i="28"/>
  <c r="AD14" i="28" s="1"/>
  <c r="W14" i="28"/>
  <c r="M11" i="30"/>
  <c r="W11" i="30"/>
  <c r="AB11" i="30"/>
  <c r="AD11" i="30" s="1"/>
  <c r="AH11" i="30"/>
  <c r="AJ11" i="30" s="1"/>
  <c r="AB7" i="31"/>
  <c r="AD7" i="31" s="1"/>
  <c r="AH7" i="31"/>
  <c r="AJ7" i="31" s="1"/>
  <c r="M7" i="31"/>
  <c r="W7" i="31"/>
  <c r="M21" i="30"/>
  <c r="AB21" i="30"/>
  <c r="AD21" i="30" s="1"/>
  <c r="AH21" i="30"/>
  <c r="AJ21" i="30" s="1"/>
  <c r="W21" i="30"/>
  <c r="W9" i="30"/>
  <c r="M9" i="30"/>
  <c r="AH9" i="30"/>
  <c r="AJ9" i="30" s="1"/>
  <c r="AB9" i="30"/>
  <c r="AD9" i="30" s="1"/>
  <c r="M16" i="31"/>
  <c r="AH16" i="31"/>
  <c r="AJ16" i="31" s="1"/>
  <c r="AB16" i="31"/>
  <c r="AD16" i="31" s="1"/>
  <c r="W16" i="31"/>
  <c r="M15" i="28"/>
  <c r="AB15" i="28"/>
  <c r="AD15" i="28" s="1"/>
  <c r="W15" i="28"/>
  <c r="AH15" i="28"/>
  <c r="AJ15" i="28" s="1"/>
  <c r="AB6" i="30"/>
  <c r="AD6" i="30" s="1"/>
  <c r="AH6" i="30"/>
  <c r="AJ6" i="30" s="1"/>
  <c r="W6" i="30"/>
  <c r="M6" i="30"/>
  <c r="AA29" i="32"/>
  <c r="AG29" i="32" s="1"/>
  <c r="AH27" i="32"/>
  <c r="AJ27" i="32" s="1"/>
  <c r="AB27" i="32"/>
  <c r="AD27" i="32" s="1"/>
  <c r="W27" i="32"/>
  <c r="M27" i="32"/>
  <c r="AA28" i="32"/>
  <c r="AG28" i="32" s="1"/>
  <c r="BB30" i="32"/>
  <c r="BC30" i="32" s="1"/>
  <c r="BF30" i="32" s="1"/>
  <c r="BA30" i="32"/>
  <c r="BD30" i="32" s="1"/>
  <c r="BG30" i="32" s="1"/>
  <c r="BH30" i="32" s="1"/>
  <c r="BB30" i="31"/>
  <c r="BC30" i="31" s="1"/>
  <c r="BF30" i="31" s="1"/>
  <c r="BA30" i="31"/>
  <c r="BD30" i="31" s="1"/>
  <c r="BG30" i="31" s="1"/>
  <c r="BH30" i="31" s="1"/>
  <c r="BO30" i="31" s="1"/>
  <c r="AA29" i="31"/>
  <c r="AG29" i="31" s="1"/>
  <c r="Q26" i="31"/>
  <c r="O26" i="31"/>
  <c r="AH27" i="31"/>
  <c r="AJ27" i="31" s="1"/>
  <c r="AB27" i="31"/>
  <c r="AD27" i="31" s="1"/>
  <c r="W27" i="31"/>
  <c r="M27" i="31"/>
  <c r="N26" i="31"/>
  <c r="P26" i="31"/>
  <c r="BB28" i="30"/>
  <c r="BC28" i="30" s="1"/>
  <c r="BF28" i="30" s="1"/>
  <c r="BA28" i="30"/>
  <c r="BD28" i="30" s="1"/>
  <c r="BG28" i="30" s="1"/>
  <c r="BH28" i="30" s="1"/>
  <c r="BO28" i="30" s="1"/>
  <c r="AM30" i="30"/>
  <c r="BB29" i="30"/>
  <c r="BC29" i="30" s="1"/>
  <c r="BF29" i="30" s="1"/>
  <c r="BA29" i="30"/>
  <c r="BD29" i="30" s="1"/>
  <c r="BG29" i="30" s="1"/>
  <c r="BH29" i="30" s="1"/>
  <c r="BO29" i="30" s="1"/>
  <c r="AA27" i="30"/>
  <c r="AG27" i="30" s="1"/>
  <c r="AB26" i="30"/>
  <c r="AD26" i="30" s="1"/>
  <c r="W26" i="30"/>
  <c r="M26" i="30"/>
  <c r="AH26" i="30"/>
  <c r="AJ26" i="30" s="1"/>
  <c r="AH27" i="29"/>
  <c r="AJ27" i="29" s="1"/>
  <c r="AB27" i="29"/>
  <c r="AD27" i="29" s="1"/>
  <c r="W27" i="29"/>
  <c r="M27" i="29"/>
  <c r="AA29" i="29"/>
  <c r="AG29" i="29" s="1"/>
  <c r="AA28" i="29"/>
  <c r="AG28" i="29" s="1"/>
  <c r="BA30" i="29"/>
  <c r="BD30" i="29" s="1"/>
  <c r="BG30" i="29" s="1"/>
  <c r="BH30" i="29" s="1"/>
  <c r="BO30" i="29" s="1"/>
  <c r="BB30" i="29"/>
  <c r="BC30" i="29" s="1"/>
  <c r="BF30" i="29" s="1"/>
  <c r="AH27" i="28"/>
  <c r="AJ27" i="28" s="1"/>
  <c r="AB27" i="28"/>
  <c r="AD27" i="28" s="1"/>
  <c r="W27" i="28"/>
  <c r="M27" i="28"/>
  <c r="BA30" i="28"/>
  <c r="BD30" i="28" s="1"/>
  <c r="BG30" i="28" s="1"/>
  <c r="BH30" i="28" s="1"/>
  <c r="BB30" i="28"/>
  <c r="BC30" i="28" s="1"/>
  <c r="BF30" i="28" s="1"/>
  <c r="AA28" i="28"/>
  <c r="AG28" i="28" s="1"/>
  <c r="AA29" i="28"/>
  <c r="AG29" i="28" s="1"/>
  <c r="AY18" i="15"/>
  <c r="BB18" i="15" s="1"/>
  <c r="BC18" i="15" s="1"/>
  <c r="AX11" i="15"/>
  <c r="BB11" i="15" s="1"/>
  <c r="BC11" i="15" s="1"/>
  <c r="AX17" i="15"/>
  <c r="BB17" i="15" s="1"/>
  <c r="BC17" i="15" s="1"/>
  <c r="AY12" i="15"/>
  <c r="BA12" i="15" s="1"/>
  <c r="AY10" i="15"/>
  <c r="BB10" i="15" s="1"/>
  <c r="BC10" i="15" s="1"/>
  <c r="AY26" i="15"/>
  <c r="BA26" i="15" s="1"/>
  <c r="AY23" i="15"/>
  <c r="BB23" i="15" s="1"/>
  <c r="BC23" i="15" s="1"/>
  <c r="AX16" i="15"/>
  <c r="BB16" i="15" s="1"/>
  <c r="BC16" i="15" s="1"/>
  <c r="AX25" i="15"/>
  <c r="BB25" i="15" s="1"/>
  <c r="BC25" i="15" s="1"/>
  <c r="AY7" i="15"/>
  <c r="BA7" i="15" s="1"/>
  <c r="AX15" i="15"/>
  <c r="BB15" i="15" s="1"/>
  <c r="BC15" i="15" s="1"/>
  <c r="AY28" i="15"/>
  <c r="BB28" i="15" s="1"/>
  <c r="BC28" i="15" s="1"/>
  <c r="AX30" i="15"/>
  <c r="BB30" i="15" s="1"/>
  <c r="BC30" i="15" s="1"/>
  <c r="AY14" i="15"/>
  <c r="BA14" i="15" s="1"/>
  <c r="AY27" i="15"/>
  <c r="BB27" i="15" s="1"/>
  <c r="BC27" i="15" s="1"/>
  <c r="AY6" i="15"/>
  <c r="BA6" i="15" s="1"/>
  <c r="AY24" i="15"/>
  <c r="BA24" i="15" s="1"/>
  <c r="BA11" i="15"/>
  <c r="BA9" i="15"/>
  <c r="BB9" i="15"/>
  <c r="BC9" i="15" s="1"/>
  <c r="BB8" i="15"/>
  <c r="BC8" i="15" s="1"/>
  <c r="BA8" i="15"/>
  <c r="BB21" i="15"/>
  <c r="BC21" i="15" s="1"/>
  <c r="BA21" i="15"/>
  <c r="BA29" i="15"/>
  <c r="BB29" i="15"/>
  <c r="BC29" i="15" s="1"/>
  <c r="BA19" i="15"/>
  <c r="BB19" i="15"/>
  <c r="BC19" i="15" s="1"/>
  <c r="BB22" i="15"/>
  <c r="BC22" i="15" s="1"/>
  <c r="BA22" i="15"/>
  <c r="BB20" i="15"/>
  <c r="BC20" i="15" s="1"/>
  <c r="BA20" i="15"/>
  <c r="P26" i="32" l="1"/>
  <c r="R26" i="32" s="1"/>
  <c r="BO34" i="29"/>
  <c r="BP28" i="32"/>
  <c r="Y28" i="32"/>
  <c r="X28" i="32"/>
  <c r="BM29" i="32"/>
  <c r="Y29" i="32"/>
  <c r="X29" i="32"/>
  <c r="BP29" i="32"/>
  <c r="Y27" i="30"/>
  <c r="X27" i="30"/>
  <c r="BP27" i="30"/>
  <c r="BM28" i="29"/>
  <c r="Y28" i="29"/>
  <c r="X28" i="29"/>
  <c r="BP28" i="29"/>
  <c r="BO32" i="29"/>
  <c r="Q36" i="29" s="1"/>
  <c r="F56" i="26" s="1"/>
  <c r="BM29" i="31"/>
  <c r="Y29" i="31"/>
  <c r="X29" i="31"/>
  <c r="BP29" i="31"/>
  <c r="BP29" i="29"/>
  <c r="Y29" i="29"/>
  <c r="X29" i="29"/>
  <c r="BH34" i="32"/>
  <c r="BO30" i="32"/>
  <c r="AA28" i="31"/>
  <c r="AG28" i="31" s="1"/>
  <c r="BO28" i="31"/>
  <c r="BO34" i="31" s="1"/>
  <c r="Y28" i="31"/>
  <c r="P26" i="28"/>
  <c r="X29" i="28"/>
  <c r="Y29" i="28"/>
  <c r="Y28" i="28"/>
  <c r="X28" i="28"/>
  <c r="BM29" i="28"/>
  <c r="BP29" i="28"/>
  <c r="BM28" i="28"/>
  <c r="BP28" i="28"/>
  <c r="BH32" i="28"/>
  <c r="BO30" i="28"/>
  <c r="BO34" i="28" s="1"/>
  <c r="Q26" i="28"/>
  <c r="O26" i="29"/>
  <c r="P25" i="30"/>
  <c r="AK25" i="30" s="1"/>
  <c r="N26" i="29"/>
  <c r="T26" i="29" s="1"/>
  <c r="BB13" i="15"/>
  <c r="BC13" i="15" s="1"/>
  <c r="O25" i="30"/>
  <c r="AE25" i="30" s="1"/>
  <c r="Q26" i="32"/>
  <c r="AK26" i="32" s="1"/>
  <c r="BH34" i="31"/>
  <c r="BL30" i="29"/>
  <c r="BI30" i="29"/>
  <c r="BF34" i="29"/>
  <c r="BS28" i="30"/>
  <c r="BS30" i="31"/>
  <c r="BH34" i="28"/>
  <c r="BG32" i="29"/>
  <c r="BG32" i="31"/>
  <c r="BS30" i="29"/>
  <c r="BS29" i="30"/>
  <c r="BI28" i="30"/>
  <c r="BL28" i="30"/>
  <c r="BL30" i="31"/>
  <c r="BI30" i="31"/>
  <c r="BG32" i="28"/>
  <c r="BF34" i="31"/>
  <c r="BG34" i="29"/>
  <c r="BF32" i="29"/>
  <c r="BJ27" i="30"/>
  <c r="BR27" i="30"/>
  <c r="BR28" i="29"/>
  <c r="BJ28" i="29"/>
  <c r="BH34" i="29"/>
  <c r="BL30" i="28"/>
  <c r="BI30" i="28"/>
  <c r="BL29" i="30"/>
  <c r="BI29" i="30"/>
  <c r="BF34" i="28"/>
  <c r="BH32" i="31"/>
  <c r="BF32" i="31"/>
  <c r="BJ29" i="31"/>
  <c r="BR29" i="31"/>
  <c r="BR29" i="29"/>
  <c r="BJ29" i="29"/>
  <c r="BR29" i="28"/>
  <c r="BJ29" i="28"/>
  <c r="BM27" i="30"/>
  <c r="BF32" i="28"/>
  <c r="BS30" i="28"/>
  <c r="BS28" i="31"/>
  <c r="BM28" i="31"/>
  <c r="BR28" i="28"/>
  <c r="BJ28" i="28"/>
  <c r="BG34" i="28"/>
  <c r="BH32" i="29"/>
  <c r="BM29" i="29"/>
  <c r="BG34" i="31"/>
  <c r="BL30" i="32"/>
  <c r="BI30" i="32"/>
  <c r="BH32" i="32"/>
  <c r="BR29" i="32"/>
  <c r="BJ29" i="32"/>
  <c r="BS30" i="32"/>
  <c r="BG34" i="32"/>
  <c r="BF32" i="32"/>
  <c r="BG32" i="32"/>
  <c r="BR28" i="32"/>
  <c r="BJ28" i="32"/>
  <c r="BF34" i="32"/>
  <c r="Q7" i="31"/>
  <c r="O7" i="31"/>
  <c r="N21" i="31"/>
  <c r="P21" i="31"/>
  <c r="Q20" i="32"/>
  <c r="O20" i="32"/>
  <c r="Q23" i="30"/>
  <c r="O23" i="30"/>
  <c r="O19" i="32"/>
  <c r="Q19" i="32"/>
  <c r="O12" i="31"/>
  <c r="Q12" i="31"/>
  <c r="N19" i="28"/>
  <c r="P19" i="28"/>
  <c r="O16" i="29"/>
  <c r="Q16" i="29"/>
  <c r="O6" i="28"/>
  <c r="Q6" i="28"/>
  <c r="P24" i="32"/>
  <c r="N24" i="32"/>
  <c r="Q18" i="28"/>
  <c r="O18" i="28"/>
  <c r="P20" i="31"/>
  <c r="N20" i="31"/>
  <c r="Q6" i="32"/>
  <c r="O6" i="32"/>
  <c r="N16" i="31"/>
  <c r="P16" i="31"/>
  <c r="N9" i="30"/>
  <c r="P9" i="30"/>
  <c r="O21" i="30"/>
  <c r="Q21" i="30"/>
  <c r="P11" i="30"/>
  <c r="N11" i="30"/>
  <c r="P8" i="28"/>
  <c r="N8" i="28"/>
  <c r="O8" i="28"/>
  <c r="Q8" i="28"/>
  <c r="O21" i="31"/>
  <c r="Q21" i="31"/>
  <c r="O23" i="32"/>
  <c r="Q23" i="32"/>
  <c r="O19" i="30"/>
  <c r="Q19" i="30"/>
  <c r="Q10" i="31"/>
  <c r="O10" i="31"/>
  <c r="P20" i="32"/>
  <c r="N20" i="32"/>
  <c r="O18" i="29"/>
  <c r="Q18" i="29"/>
  <c r="Q22" i="32"/>
  <c r="O22" i="32"/>
  <c r="O18" i="32"/>
  <c r="Q18" i="32"/>
  <c r="N18" i="32"/>
  <c r="P18" i="32"/>
  <c r="N10" i="32"/>
  <c r="P10" i="32"/>
  <c r="Q13" i="32"/>
  <c r="O13" i="32"/>
  <c r="N25" i="29"/>
  <c r="P25" i="29"/>
  <c r="O25" i="29"/>
  <c r="Q25" i="29"/>
  <c r="N19" i="32"/>
  <c r="P19" i="32"/>
  <c r="O14" i="32"/>
  <c r="Q14" i="32"/>
  <c r="O23" i="31"/>
  <c r="Q23" i="31"/>
  <c r="P6" i="29"/>
  <c r="N6" i="29"/>
  <c r="O15" i="31"/>
  <c r="Q15" i="31"/>
  <c r="P23" i="28"/>
  <c r="N23" i="28"/>
  <c r="N9" i="31"/>
  <c r="P9" i="31"/>
  <c r="O22" i="31"/>
  <c r="Q22" i="31"/>
  <c r="Q24" i="31"/>
  <c r="O24" i="31"/>
  <c r="N15" i="30"/>
  <c r="P15" i="30"/>
  <c r="O15" i="30"/>
  <c r="Q15" i="30"/>
  <c r="N8" i="32"/>
  <c r="P8" i="32"/>
  <c r="O8" i="32"/>
  <c r="Q8" i="32"/>
  <c r="N8" i="30"/>
  <c r="P8" i="30"/>
  <c r="N14" i="30"/>
  <c r="P14" i="30"/>
  <c r="N14" i="29"/>
  <c r="P14" i="29"/>
  <c r="O10" i="28"/>
  <c r="Q10" i="28"/>
  <c r="P17" i="29"/>
  <c r="N17" i="29"/>
  <c r="Q17" i="29"/>
  <c r="O17" i="29"/>
  <c r="N13" i="31"/>
  <c r="P13" i="31"/>
  <c r="N20" i="28"/>
  <c r="P20" i="28"/>
  <c r="N11" i="32"/>
  <c r="P11" i="32"/>
  <c r="N7" i="30"/>
  <c r="P7" i="30"/>
  <c r="Q7" i="30"/>
  <c r="O7" i="30"/>
  <c r="O9" i="28"/>
  <c r="Q9" i="28"/>
  <c r="Q6" i="31"/>
  <c r="O6" i="31"/>
  <c r="P7" i="28"/>
  <c r="N7" i="28"/>
  <c r="P11" i="31"/>
  <c r="N11" i="31"/>
  <c r="Q24" i="32"/>
  <c r="O24" i="32"/>
  <c r="Q17" i="32"/>
  <c r="O17" i="32"/>
  <c r="O8" i="29"/>
  <c r="Q8" i="29"/>
  <c r="O22" i="30"/>
  <c r="Q22" i="30"/>
  <c r="P22" i="29"/>
  <c r="N22" i="29"/>
  <c r="O16" i="28"/>
  <c r="Q16" i="28"/>
  <c r="N20" i="30"/>
  <c r="P20" i="30"/>
  <c r="O21" i="32"/>
  <c r="Q21" i="32"/>
  <c r="N9" i="32"/>
  <c r="P9" i="32"/>
  <c r="O12" i="30"/>
  <c r="Q12" i="30"/>
  <c r="Q15" i="32"/>
  <c r="O15" i="32"/>
  <c r="N13" i="29"/>
  <c r="P13" i="29"/>
  <c r="Q6" i="30"/>
  <c r="O6" i="30"/>
  <c r="O22" i="28"/>
  <c r="Q22" i="28"/>
  <c r="O23" i="28"/>
  <c r="Q23" i="28"/>
  <c r="N24" i="30"/>
  <c r="P24" i="30"/>
  <c r="N17" i="30"/>
  <c r="P17" i="30"/>
  <c r="P6" i="31"/>
  <c r="N6" i="31"/>
  <c r="P16" i="32"/>
  <c r="N16" i="32"/>
  <c r="Q21" i="28"/>
  <c r="O21" i="28"/>
  <c r="Q22" i="29"/>
  <c r="AK22" i="29" s="1"/>
  <c r="O22" i="29"/>
  <c r="P15" i="32"/>
  <c r="N15" i="32"/>
  <c r="N15" i="28"/>
  <c r="P15" i="28"/>
  <c r="N7" i="31"/>
  <c r="P7" i="31"/>
  <c r="O14" i="28"/>
  <c r="Q14" i="28"/>
  <c r="P9" i="29"/>
  <c r="N9" i="29"/>
  <c r="O10" i="30"/>
  <c r="Q10" i="30"/>
  <c r="P10" i="30"/>
  <c r="N10" i="30"/>
  <c r="P23" i="32"/>
  <c r="N23" i="32"/>
  <c r="N25" i="31"/>
  <c r="P25" i="31"/>
  <c r="P11" i="28"/>
  <c r="N11" i="28"/>
  <c r="N18" i="29"/>
  <c r="P18" i="29"/>
  <c r="P22" i="32"/>
  <c r="N22" i="32"/>
  <c r="N23" i="30"/>
  <c r="P23" i="30"/>
  <c r="P17" i="28"/>
  <c r="N17" i="28"/>
  <c r="P25" i="32"/>
  <c r="N25" i="32"/>
  <c r="Q24" i="28"/>
  <c r="O24" i="28"/>
  <c r="N8" i="31"/>
  <c r="P8" i="31"/>
  <c r="Q8" i="31"/>
  <c r="O8" i="31"/>
  <c r="O10" i="32"/>
  <c r="Q10" i="32"/>
  <c r="Q16" i="30"/>
  <c r="O16" i="30"/>
  <c r="N10" i="29"/>
  <c r="P10" i="29"/>
  <c r="Q20" i="29"/>
  <c r="O20" i="29"/>
  <c r="N23" i="31"/>
  <c r="P23" i="31"/>
  <c r="N12" i="29"/>
  <c r="P12" i="29"/>
  <c r="P22" i="31"/>
  <c r="N22" i="31"/>
  <c r="Q19" i="29"/>
  <c r="O19" i="29"/>
  <c r="P19" i="29"/>
  <c r="N19" i="29"/>
  <c r="N24" i="31"/>
  <c r="P24" i="31"/>
  <c r="N12" i="31"/>
  <c r="P12" i="31"/>
  <c r="P12" i="32"/>
  <c r="N12" i="32"/>
  <c r="O19" i="31"/>
  <c r="Q19" i="31"/>
  <c r="Q13" i="30"/>
  <c r="O13" i="30"/>
  <c r="O19" i="28"/>
  <c r="Q19" i="28"/>
  <c r="Q14" i="30"/>
  <c r="O14" i="30"/>
  <c r="Q14" i="29"/>
  <c r="O14" i="29"/>
  <c r="Q11" i="32"/>
  <c r="O11" i="32"/>
  <c r="P25" i="28"/>
  <c r="N25" i="28"/>
  <c r="O15" i="29"/>
  <c r="Q15" i="29"/>
  <c r="Q7" i="28"/>
  <c r="O7" i="28"/>
  <c r="P21" i="28"/>
  <c r="N21" i="28"/>
  <c r="N22" i="30"/>
  <c r="P22" i="30"/>
  <c r="P13" i="28"/>
  <c r="N13" i="28"/>
  <c r="O13" i="28"/>
  <c r="Q13" i="28"/>
  <c r="N16" i="28"/>
  <c r="P16" i="28"/>
  <c r="O21" i="29"/>
  <c r="Q21" i="29"/>
  <c r="P7" i="29"/>
  <c r="N7" i="29"/>
  <c r="N18" i="28"/>
  <c r="P18" i="28"/>
  <c r="P21" i="32"/>
  <c r="N21" i="32"/>
  <c r="O24" i="29"/>
  <c r="Q24" i="29"/>
  <c r="N18" i="31"/>
  <c r="P18" i="31"/>
  <c r="O16" i="31"/>
  <c r="Q16" i="31"/>
  <c r="AK16" i="31" s="1"/>
  <c r="Q11" i="28"/>
  <c r="AK11" i="28" s="1"/>
  <c r="O11" i="28"/>
  <c r="Q17" i="28"/>
  <c r="O17" i="28"/>
  <c r="P24" i="28"/>
  <c r="N24" i="28"/>
  <c r="N22" i="28"/>
  <c r="P22" i="28"/>
  <c r="Q12" i="29"/>
  <c r="O12" i="29"/>
  <c r="Q12" i="32"/>
  <c r="O12" i="32"/>
  <c r="Q20" i="28"/>
  <c r="O20" i="28"/>
  <c r="P6" i="28"/>
  <c r="N6" i="28"/>
  <c r="Q16" i="32"/>
  <c r="AK16" i="32" s="1"/>
  <c r="O16" i="32"/>
  <c r="O20" i="30"/>
  <c r="Q20" i="30"/>
  <c r="P18" i="30"/>
  <c r="N18" i="30"/>
  <c r="Q13" i="29"/>
  <c r="O13" i="29"/>
  <c r="P6" i="30"/>
  <c r="N6" i="30"/>
  <c r="O15" i="28"/>
  <c r="Q15" i="28"/>
  <c r="O9" i="30"/>
  <c r="Q9" i="30"/>
  <c r="AK9" i="30" s="1"/>
  <c r="P21" i="30"/>
  <c r="N21" i="30"/>
  <c r="O11" i="30"/>
  <c r="Q11" i="30"/>
  <c r="P14" i="28"/>
  <c r="N14" i="28"/>
  <c r="O9" i="29"/>
  <c r="Q9" i="29"/>
  <c r="P19" i="30"/>
  <c r="N19" i="30"/>
  <c r="Q25" i="31"/>
  <c r="O25" i="31"/>
  <c r="P10" i="31"/>
  <c r="N10" i="31"/>
  <c r="N17" i="31"/>
  <c r="P17" i="31"/>
  <c r="O17" i="31"/>
  <c r="Q17" i="31"/>
  <c r="Q25" i="32"/>
  <c r="O25" i="32"/>
  <c r="N13" i="32"/>
  <c r="P13" i="32"/>
  <c r="N16" i="30"/>
  <c r="P16" i="30"/>
  <c r="O10" i="29"/>
  <c r="Q10" i="29"/>
  <c r="Q23" i="29"/>
  <c r="O23" i="29"/>
  <c r="N23" i="29"/>
  <c r="P23" i="29"/>
  <c r="N20" i="29"/>
  <c r="P20" i="29"/>
  <c r="O12" i="28"/>
  <c r="Q12" i="28"/>
  <c r="P12" i="28"/>
  <c r="N12" i="28"/>
  <c r="P14" i="32"/>
  <c r="N14" i="32"/>
  <c r="O14" i="31"/>
  <c r="Q14" i="31"/>
  <c r="P14" i="31"/>
  <c r="N14" i="31"/>
  <c r="Q6" i="29"/>
  <c r="O6" i="29"/>
  <c r="N15" i="31"/>
  <c r="P15" i="31"/>
  <c r="Q9" i="31"/>
  <c r="O9" i="31"/>
  <c r="P19" i="31"/>
  <c r="N19" i="31"/>
  <c r="P13" i="30"/>
  <c r="N13" i="30"/>
  <c r="O8" i="30"/>
  <c r="Q8" i="30"/>
  <c r="AK8" i="30" s="1"/>
  <c r="Q7" i="32"/>
  <c r="O7" i="32"/>
  <c r="P7" i="32"/>
  <c r="N7" i="32"/>
  <c r="P10" i="28"/>
  <c r="N10" i="28"/>
  <c r="P16" i="29"/>
  <c r="N16" i="29"/>
  <c r="Q24" i="30"/>
  <c r="O24" i="30"/>
  <c r="O11" i="29"/>
  <c r="Q11" i="29"/>
  <c r="P11" i="29"/>
  <c r="N11" i="29"/>
  <c r="O13" i="31"/>
  <c r="Q13" i="31"/>
  <c r="AK13" i="31" s="1"/>
  <c r="Q25" i="28"/>
  <c r="O25" i="28"/>
  <c r="P15" i="29"/>
  <c r="N15" i="29"/>
  <c r="O17" i="30"/>
  <c r="Q17" i="30"/>
  <c r="AK17" i="30" s="1"/>
  <c r="P9" i="28"/>
  <c r="N9" i="28"/>
  <c r="Q11" i="31"/>
  <c r="O11" i="31"/>
  <c r="P17" i="32"/>
  <c r="N17" i="32"/>
  <c r="P8" i="29"/>
  <c r="N8" i="29"/>
  <c r="P21" i="29"/>
  <c r="N21" i="29"/>
  <c r="O7" i="29"/>
  <c r="Q7" i="29"/>
  <c r="O9" i="32"/>
  <c r="Q9" i="32"/>
  <c r="O20" i="31"/>
  <c r="Q20" i="31"/>
  <c r="P12" i="30"/>
  <c r="N12" i="30"/>
  <c r="O18" i="30"/>
  <c r="Q18" i="30"/>
  <c r="P24" i="29"/>
  <c r="N24" i="29"/>
  <c r="Q18" i="31"/>
  <c r="O18" i="31"/>
  <c r="N6" i="32"/>
  <c r="P6" i="32"/>
  <c r="M28" i="32"/>
  <c r="AH28" i="32"/>
  <c r="AJ28" i="32" s="1"/>
  <c r="W28" i="32"/>
  <c r="AB28" i="32"/>
  <c r="AD28" i="32" s="1"/>
  <c r="N27" i="32"/>
  <c r="P27" i="32"/>
  <c r="AH29" i="32"/>
  <c r="AJ29" i="32" s="1"/>
  <c r="AB29" i="32"/>
  <c r="AD29" i="32" s="1"/>
  <c r="W29" i="32"/>
  <c r="M29" i="32"/>
  <c r="Q27" i="32"/>
  <c r="O27" i="32"/>
  <c r="AE26" i="32"/>
  <c r="AC26" i="32"/>
  <c r="AI26" i="32"/>
  <c r="AK26" i="31"/>
  <c r="P27" i="31"/>
  <c r="N27" i="31"/>
  <c r="AH29" i="31"/>
  <c r="AJ29" i="31" s="1"/>
  <c r="AB29" i="31"/>
  <c r="AD29" i="31" s="1"/>
  <c r="W29" i="31"/>
  <c r="M29" i="31"/>
  <c r="O27" i="31"/>
  <c r="Q27" i="31"/>
  <c r="M28" i="31"/>
  <c r="AH28" i="31"/>
  <c r="AJ28" i="31" s="1"/>
  <c r="W28" i="31"/>
  <c r="AB28" i="31"/>
  <c r="AD28" i="31" s="1"/>
  <c r="T26" i="31"/>
  <c r="R26" i="31"/>
  <c r="AE26" i="31"/>
  <c r="AI26" i="31"/>
  <c r="AC26" i="31"/>
  <c r="N26" i="30"/>
  <c r="P26" i="30"/>
  <c r="AA29" i="30"/>
  <c r="AG29" i="30" s="1"/>
  <c r="BB30" i="30"/>
  <c r="BC30" i="30" s="1"/>
  <c r="BF30" i="30" s="1"/>
  <c r="BF32" i="30" s="1"/>
  <c r="BA30" i="30"/>
  <c r="BD30" i="30" s="1"/>
  <c r="BG30" i="30" s="1"/>
  <c r="BH30" i="30" s="1"/>
  <c r="AA28" i="30"/>
  <c r="AG28" i="30" s="1"/>
  <c r="AH27" i="30"/>
  <c r="AJ27" i="30" s="1"/>
  <c r="AB27" i="30"/>
  <c r="AD27" i="30" s="1"/>
  <c r="W27" i="30"/>
  <c r="M27" i="30"/>
  <c r="O26" i="30"/>
  <c r="Q26" i="30"/>
  <c r="AK26" i="29"/>
  <c r="P27" i="29"/>
  <c r="N27" i="29"/>
  <c r="AH29" i="29"/>
  <c r="AJ29" i="29" s="1"/>
  <c r="AB29" i="29"/>
  <c r="AD29" i="29" s="1"/>
  <c r="W29" i="29"/>
  <c r="M29" i="29"/>
  <c r="O27" i="29"/>
  <c r="Q27" i="29"/>
  <c r="M28" i="29"/>
  <c r="AH28" i="29"/>
  <c r="AJ28" i="29" s="1"/>
  <c r="W28" i="29"/>
  <c r="AB28" i="29"/>
  <c r="AD28" i="29" s="1"/>
  <c r="R26" i="28"/>
  <c r="T26" i="28"/>
  <c r="AH29" i="28"/>
  <c r="AJ29" i="28" s="1"/>
  <c r="AB29" i="28"/>
  <c r="AD29" i="28" s="1"/>
  <c r="W29" i="28"/>
  <c r="M29" i="28"/>
  <c r="AE26" i="28"/>
  <c r="AI26" i="28"/>
  <c r="AC26" i="28"/>
  <c r="P27" i="28"/>
  <c r="N27" i="28"/>
  <c r="M28" i="28"/>
  <c r="AH28" i="28"/>
  <c r="AJ28" i="28" s="1"/>
  <c r="W28" i="28"/>
  <c r="AB28" i="28"/>
  <c r="AD28" i="28" s="1"/>
  <c r="O27" i="28"/>
  <c r="Q27" i="28"/>
  <c r="BB12" i="15"/>
  <c r="BC12" i="15" s="1"/>
  <c r="BF12" i="15" s="1"/>
  <c r="BI12" i="15" s="1"/>
  <c r="BA18" i="15"/>
  <c r="BD18" i="15" s="1"/>
  <c r="BG18" i="15" s="1"/>
  <c r="BH18" i="15" s="1"/>
  <c r="BO18" i="15" s="1"/>
  <c r="BA17" i="15"/>
  <c r="BD17" i="15" s="1"/>
  <c r="BG17" i="15" s="1"/>
  <c r="BH17" i="15" s="1"/>
  <c r="BO17" i="15" s="1"/>
  <c r="BA10" i="15"/>
  <c r="BD10" i="15" s="1"/>
  <c r="BG10" i="15" s="1"/>
  <c r="BH10" i="15" s="1"/>
  <c r="BO10" i="15" s="1"/>
  <c r="BB14" i="15"/>
  <c r="BC14" i="15" s="1"/>
  <c r="BF14" i="15" s="1"/>
  <c r="BI14" i="15" s="1"/>
  <c r="BB26" i="15"/>
  <c r="BA23" i="15"/>
  <c r="BD23" i="15" s="1"/>
  <c r="BG23" i="15" s="1"/>
  <c r="BH23" i="15" s="1"/>
  <c r="BO23" i="15" s="1"/>
  <c r="BA25" i="15"/>
  <c r="BD25" i="15" s="1"/>
  <c r="BG25" i="15" s="1"/>
  <c r="BH25" i="15" s="1"/>
  <c r="BO25" i="15" s="1"/>
  <c r="BB7" i="15"/>
  <c r="BA16" i="15"/>
  <c r="BD16" i="15" s="1"/>
  <c r="BG16" i="15" s="1"/>
  <c r="BH16" i="15" s="1"/>
  <c r="BO16" i="15" s="1"/>
  <c r="BD7" i="15"/>
  <c r="BG7" i="15" s="1"/>
  <c r="BH7" i="15" s="1"/>
  <c r="BO7" i="15" s="1"/>
  <c r="BF22" i="15"/>
  <c r="BI22" i="15" s="1"/>
  <c r="BD29" i="15"/>
  <c r="BG29" i="15" s="1"/>
  <c r="BH29" i="15" s="1"/>
  <c r="BO29" i="15" s="1"/>
  <c r="BF17" i="15"/>
  <c r="BI17" i="15" s="1"/>
  <c r="BD9" i="15"/>
  <c r="BG9" i="15" s="1"/>
  <c r="BH9" i="15" s="1"/>
  <c r="BO9" i="15" s="1"/>
  <c r="BD20" i="15"/>
  <c r="BG20" i="15" s="1"/>
  <c r="BH20" i="15" s="1"/>
  <c r="BO20" i="15" s="1"/>
  <c r="BF19" i="15"/>
  <c r="BI19" i="15" s="1"/>
  <c r="BD21" i="15"/>
  <c r="BG21" i="15" s="1"/>
  <c r="BH21" i="15" s="1"/>
  <c r="BO21" i="15" s="1"/>
  <c r="BD8" i="15"/>
  <c r="BG8" i="15" s="1"/>
  <c r="BH8" i="15" s="1"/>
  <c r="BO8" i="15" s="1"/>
  <c r="BF13" i="15"/>
  <c r="BI13" i="15" s="1"/>
  <c r="BD12" i="15"/>
  <c r="BG12" i="15" s="1"/>
  <c r="BH12" i="15" s="1"/>
  <c r="BO12" i="15" s="1"/>
  <c r="BF11" i="15"/>
  <c r="BI11" i="15" s="1"/>
  <c r="BD14" i="15"/>
  <c r="BG14" i="15" s="1"/>
  <c r="BH14" i="15" s="1"/>
  <c r="BO14" i="15" s="1"/>
  <c r="BF21" i="15"/>
  <c r="BI21" i="15" s="1"/>
  <c r="BF8" i="15"/>
  <c r="BI8" i="15" s="1"/>
  <c r="BD13" i="15"/>
  <c r="BG13" i="15" s="1"/>
  <c r="BH13" i="15" s="1"/>
  <c r="BO13" i="15" s="1"/>
  <c r="BF10" i="15"/>
  <c r="BI10" i="15" s="1"/>
  <c r="BD11" i="15"/>
  <c r="BG11" i="15" s="1"/>
  <c r="BH11" i="15" s="1"/>
  <c r="BO11" i="15" s="1"/>
  <c r="BF20" i="15"/>
  <c r="BI20" i="15" s="1"/>
  <c r="BD19" i="15"/>
  <c r="BG19" i="15" s="1"/>
  <c r="BH19" i="15" s="1"/>
  <c r="BO19" i="15" s="1"/>
  <c r="BF16" i="15"/>
  <c r="BI16" i="15" s="1"/>
  <c r="BD22" i="15"/>
  <c r="BG22" i="15" s="1"/>
  <c r="BH22" i="15" s="1"/>
  <c r="BO22" i="15" s="1"/>
  <c r="BD26" i="15"/>
  <c r="BG26" i="15" s="1"/>
  <c r="BH26" i="15" s="1"/>
  <c r="BO26" i="15" s="1"/>
  <c r="BF29" i="15"/>
  <c r="BI29" i="15" s="1"/>
  <c r="BF9" i="15"/>
  <c r="BI9" i="15" s="1"/>
  <c r="BF18" i="15"/>
  <c r="BI18" i="15" s="1"/>
  <c r="BD24" i="15"/>
  <c r="BG24" i="15" s="1"/>
  <c r="BH24" i="15" s="1"/>
  <c r="BO24" i="15" s="1"/>
  <c r="BF25" i="15"/>
  <c r="BI25" i="15" s="1"/>
  <c r="BF23" i="15"/>
  <c r="BI23" i="15" s="1"/>
  <c r="BD6" i="15"/>
  <c r="BG6" i="15" s="1"/>
  <c r="BH6" i="15" s="1"/>
  <c r="BO6" i="15" s="1"/>
  <c r="BA15" i="15"/>
  <c r="BA28" i="15"/>
  <c r="BA30" i="15"/>
  <c r="BA27" i="15"/>
  <c r="BB6" i="15"/>
  <c r="BB24" i="15"/>
  <c r="BC24" i="15" s="1"/>
  <c r="AK10" i="29" l="1"/>
  <c r="S26" i="32"/>
  <c r="T26" i="32"/>
  <c r="AK26" i="28"/>
  <c r="U26" i="28" s="1"/>
  <c r="AC26" i="29"/>
  <c r="T25" i="30"/>
  <c r="AI26" i="29"/>
  <c r="R25" i="30"/>
  <c r="BP20" i="15"/>
  <c r="Y20" i="15"/>
  <c r="X20" i="15"/>
  <c r="BP8" i="15"/>
  <c r="Y8" i="15"/>
  <c r="X8" i="15"/>
  <c r="Y19" i="15"/>
  <c r="X19" i="15"/>
  <c r="BP19" i="15"/>
  <c r="Y14" i="15"/>
  <c r="X14" i="15"/>
  <c r="BP14" i="15"/>
  <c r="BP12" i="15"/>
  <c r="X12" i="15"/>
  <c r="Y12" i="15"/>
  <c r="BH34" i="30"/>
  <c r="BO30" i="30"/>
  <c r="BM30" i="31"/>
  <c r="Y30" i="31"/>
  <c r="X30" i="31"/>
  <c r="BP30" i="31"/>
  <c r="BP32" i="31" s="1"/>
  <c r="Q37" i="31" s="1"/>
  <c r="G54" i="26" s="1"/>
  <c r="BM30" i="29"/>
  <c r="Y30" i="29"/>
  <c r="X30" i="29"/>
  <c r="BP30" i="29"/>
  <c r="BP34" i="29" s="1"/>
  <c r="BO32" i="31"/>
  <c r="Q36" i="31" s="1"/>
  <c r="F54" i="26" s="1"/>
  <c r="Y18" i="15"/>
  <c r="X18" i="15"/>
  <c r="BP18" i="15"/>
  <c r="Y21" i="15"/>
  <c r="X21" i="15"/>
  <c r="BP21" i="15"/>
  <c r="Y13" i="15"/>
  <c r="X13" i="15"/>
  <c r="BP13" i="15"/>
  <c r="Y22" i="15"/>
  <c r="X22" i="15"/>
  <c r="BP22" i="15"/>
  <c r="BM30" i="32"/>
  <c r="BP30" i="32"/>
  <c r="Y30" i="32"/>
  <c r="X30" i="32"/>
  <c r="Y23" i="15"/>
  <c r="X23" i="15"/>
  <c r="BP23" i="15"/>
  <c r="Y9" i="15"/>
  <c r="X9" i="15"/>
  <c r="BP9" i="15"/>
  <c r="BP16" i="15"/>
  <c r="Y16" i="15"/>
  <c r="X16" i="15"/>
  <c r="Y10" i="15"/>
  <c r="X10" i="15"/>
  <c r="BP10" i="15"/>
  <c r="BO32" i="32"/>
  <c r="Q36" i="32" s="1"/>
  <c r="BO34" i="32"/>
  <c r="Y25" i="15"/>
  <c r="X25" i="15"/>
  <c r="BP25" i="15"/>
  <c r="Y29" i="15"/>
  <c r="X29" i="15"/>
  <c r="BP29" i="15"/>
  <c r="Y11" i="15"/>
  <c r="X11" i="15"/>
  <c r="BP11" i="15"/>
  <c r="Y17" i="15"/>
  <c r="X17" i="15"/>
  <c r="BP17" i="15"/>
  <c r="Y29" i="30"/>
  <c r="X29" i="30"/>
  <c r="BP29" i="30"/>
  <c r="BM28" i="30"/>
  <c r="Y28" i="30"/>
  <c r="X28" i="30"/>
  <c r="BP28" i="30"/>
  <c r="X30" i="28"/>
  <c r="Y30" i="28"/>
  <c r="BO32" i="28"/>
  <c r="Q36" i="28" s="1"/>
  <c r="F57" i="26" s="1"/>
  <c r="BI32" i="28"/>
  <c r="BP30" i="28"/>
  <c r="BP32" i="28" s="1"/>
  <c r="Q37" i="28" s="1"/>
  <c r="G57" i="26" s="1"/>
  <c r="R26" i="29"/>
  <c r="AE26" i="29"/>
  <c r="U26" i="29" s="1"/>
  <c r="AC25" i="30"/>
  <c r="AI25" i="30"/>
  <c r="AK12" i="32"/>
  <c r="AK17" i="28"/>
  <c r="AK7" i="29"/>
  <c r="AK11" i="30"/>
  <c r="AK9" i="31"/>
  <c r="AK20" i="28"/>
  <c r="AK9" i="32"/>
  <c r="AK15" i="28"/>
  <c r="AK20" i="30"/>
  <c r="AK19" i="28"/>
  <c r="AK10" i="32"/>
  <c r="AK18" i="29"/>
  <c r="BM30" i="28"/>
  <c r="U26" i="31"/>
  <c r="U26" i="32"/>
  <c r="BG34" i="30"/>
  <c r="BR29" i="30"/>
  <c r="BJ29" i="30"/>
  <c r="BH32" i="30"/>
  <c r="BR30" i="29"/>
  <c r="BJ30" i="29"/>
  <c r="BI34" i="29"/>
  <c r="BI32" i="29"/>
  <c r="BS30" i="30"/>
  <c r="BG32" i="30"/>
  <c r="BR28" i="30"/>
  <c r="BJ28" i="30"/>
  <c r="BL30" i="30"/>
  <c r="BI30" i="30"/>
  <c r="BF34" i="30"/>
  <c r="BR30" i="28"/>
  <c r="BJ30" i="28"/>
  <c r="BR30" i="31"/>
  <c r="BJ30" i="31"/>
  <c r="BI32" i="31"/>
  <c r="BI34" i="31"/>
  <c r="BM29" i="30"/>
  <c r="BI34" i="28"/>
  <c r="BR30" i="32"/>
  <c r="BJ30" i="32"/>
  <c r="BI34" i="32"/>
  <c r="BI32" i="32"/>
  <c r="AK27" i="31"/>
  <c r="AK18" i="31"/>
  <c r="AK14" i="30"/>
  <c r="AK18" i="30"/>
  <c r="AK7" i="28"/>
  <c r="AK12" i="29"/>
  <c r="AK20" i="31"/>
  <c r="AK11" i="31"/>
  <c r="AK6" i="29"/>
  <c r="AK9" i="29"/>
  <c r="AK23" i="28"/>
  <c r="AK21" i="31"/>
  <c r="AK25" i="28"/>
  <c r="AK25" i="32"/>
  <c r="AK24" i="32"/>
  <c r="AK7" i="32"/>
  <c r="AK17" i="29"/>
  <c r="AK19" i="29"/>
  <c r="AK14" i="31"/>
  <c r="AK10" i="30"/>
  <c r="AK8" i="28"/>
  <c r="AK16" i="28"/>
  <c r="AK19" i="30"/>
  <c r="AK16" i="29"/>
  <c r="AK17" i="31"/>
  <c r="AK26" i="30"/>
  <c r="AK11" i="29"/>
  <c r="AK12" i="28"/>
  <c r="AK24" i="29"/>
  <c r="AK21" i="29"/>
  <c r="AK13" i="28"/>
  <c r="AK19" i="31"/>
  <c r="AK12" i="30"/>
  <c r="AK21" i="32"/>
  <c r="AK22" i="31"/>
  <c r="AK14" i="32"/>
  <c r="AK25" i="29"/>
  <c r="AK21" i="30"/>
  <c r="AK27" i="29"/>
  <c r="AK13" i="32"/>
  <c r="S26" i="28"/>
  <c r="U25" i="30"/>
  <c r="AK15" i="32"/>
  <c r="AI12" i="30"/>
  <c r="R12" i="30"/>
  <c r="T12" i="30"/>
  <c r="R21" i="29"/>
  <c r="T21" i="29"/>
  <c r="T9" i="28"/>
  <c r="R9" i="28"/>
  <c r="R7" i="32"/>
  <c r="T7" i="32"/>
  <c r="R19" i="31"/>
  <c r="T19" i="31"/>
  <c r="T6" i="28"/>
  <c r="R6" i="28"/>
  <c r="AI17" i="28"/>
  <c r="AE17" i="28"/>
  <c r="AC7" i="28"/>
  <c r="AE7" i="28"/>
  <c r="AI7" i="28"/>
  <c r="S7" i="28" s="1"/>
  <c r="R22" i="31"/>
  <c r="T22" i="31"/>
  <c r="R25" i="32"/>
  <c r="T25" i="32"/>
  <c r="R9" i="29"/>
  <c r="T9" i="29"/>
  <c r="AI21" i="28"/>
  <c r="AE21" i="28"/>
  <c r="AC21" i="28"/>
  <c r="AK22" i="30"/>
  <c r="R11" i="31"/>
  <c r="T11" i="31"/>
  <c r="AE6" i="31"/>
  <c r="AI6" i="31"/>
  <c r="T17" i="29"/>
  <c r="R17" i="29"/>
  <c r="R6" i="29"/>
  <c r="T6" i="29"/>
  <c r="T20" i="32"/>
  <c r="R20" i="32"/>
  <c r="R8" i="28"/>
  <c r="T8" i="28"/>
  <c r="R24" i="32"/>
  <c r="T24" i="32"/>
  <c r="R6" i="32"/>
  <c r="T6" i="32"/>
  <c r="AE9" i="32"/>
  <c r="AI9" i="32"/>
  <c r="AC9" i="32"/>
  <c r="AI13" i="31"/>
  <c r="AC13" i="31"/>
  <c r="AE13" i="31"/>
  <c r="U13" i="31" s="1"/>
  <c r="AI11" i="29"/>
  <c r="AE11" i="29"/>
  <c r="AC11" i="29"/>
  <c r="AC8" i="30"/>
  <c r="AI8" i="30"/>
  <c r="AE8" i="30"/>
  <c r="U8" i="30" s="1"/>
  <c r="T15" i="31"/>
  <c r="R15" i="31"/>
  <c r="AC12" i="28"/>
  <c r="AI12" i="28"/>
  <c r="AE12" i="28"/>
  <c r="R23" i="29"/>
  <c r="T23" i="29"/>
  <c r="AE10" i="29"/>
  <c r="U10" i="29" s="1"/>
  <c r="AC10" i="29"/>
  <c r="AI10" i="29"/>
  <c r="R13" i="32"/>
  <c r="T13" i="32"/>
  <c r="AI17" i="31"/>
  <c r="AE17" i="31"/>
  <c r="AC17" i="31"/>
  <c r="AC15" i="28"/>
  <c r="AI15" i="28"/>
  <c r="AE15" i="28"/>
  <c r="AK13" i="29"/>
  <c r="AI20" i="30"/>
  <c r="AC20" i="30"/>
  <c r="AE20" i="30"/>
  <c r="R22" i="28"/>
  <c r="T22" i="28"/>
  <c r="AI16" i="31"/>
  <c r="AE16" i="31"/>
  <c r="U16" i="31" s="1"/>
  <c r="AC16" i="31"/>
  <c r="AI24" i="29"/>
  <c r="AC24" i="29"/>
  <c r="AE24" i="29"/>
  <c r="T18" i="28"/>
  <c r="R18" i="28"/>
  <c r="AC21" i="29"/>
  <c r="AI21" i="29"/>
  <c r="AE21" i="29"/>
  <c r="AI13" i="28"/>
  <c r="AE13" i="28"/>
  <c r="R22" i="30"/>
  <c r="T22" i="30"/>
  <c r="AK14" i="29"/>
  <c r="AE19" i="28"/>
  <c r="AC19" i="28"/>
  <c r="AI19" i="28"/>
  <c r="AI19" i="31"/>
  <c r="AC19" i="31"/>
  <c r="AE19" i="31"/>
  <c r="R12" i="31"/>
  <c r="T12" i="31"/>
  <c r="T23" i="31"/>
  <c r="R23" i="31"/>
  <c r="T10" i="29"/>
  <c r="R10" i="29"/>
  <c r="AE10" i="32"/>
  <c r="AC10" i="32"/>
  <c r="AI10" i="32"/>
  <c r="T8" i="31"/>
  <c r="R8" i="31"/>
  <c r="R23" i="30"/>
  <c r="T23" i="30"/>
  <c r="R18" i="29"/>
  <c r="T18" i="29"/>
  <c r="T25" i="31"/>
  <c r="R25" i="31"/>
  <c r="T7" i="31"/>
  <c r="R7" i="31"/>
  <c r="AK21" i="28"/>
  <c r="T24" i="30"/>
  <c r="R24" i="30"/>
  <c r="AE22" i="28"/>
  <c r="AI22" i="28"/>
  <c r="AC22" i="28"/>
  <c r="R13" i="29"/>
  <c r="T13" i="29"/>
  <c r="AC12" i="30"/>
  <c r="AE12" i="30"/>
  <c r="AE21" i="32"/>
  <c r="AI21" i="32"/>
  <c r="AC21" i="32"/>
  <c r="AI16" i="28"/>
  <c r="AE16" i="28"/>
  <c r="AC16" i="28"/>
  <c r="AI22" i="30"/>
  <c r="AC22" i="30"/>
  <c r="AE22" i="30"/>
  <c r="U22" i="30" s="1"/>
  <c r="AK17" i="32"/>
  <c r="AK6" i="31"/>
  <c r="AK7" i="30"/>
  <c r="R11" i="32"/>
  <c r="T11" i="32"/>
  <c r="R13" i="31"/>
  <c r="T13" i="31"/>
  <c r="T14" i="29"/>
  <c r="R14" i="29"/>
  <c r="T8" i="30"/>
  <c r="R8" i="30"/>
  <c r="R8" i="32"/>
  <c r="T8" i="32"/>
  <c r="R15" i="30"/>
  <c r="T15" i="30"/>
  <c r="AE22" i="31"/>
  <c r="AC22" i="31"/>
  <c r="AI22" i="31"/>
  <c r="AC14" i="32"/>
  <c r="AI14" i="32"/>
  <c r="AE14" i="32"/>
  <c r="AE25" i="29"/>
  <c r="AI25" i="29"/>
  <c r="AC25" i="29"/>
  <c r="T18" i="32"/>
  <c r="R18" i="32"/>
  <c r="AK22" i="32"/>
  <c r="AE19" i="30"/>
  <c r="AI19" i="30"/>
  <c r="AC19" i="30"/>
  <c r="AI21" i="31"/>
  <c r="AC21" i="31"/>
  <c r="AE21" i="31"/>
  <c r="AE21" i="30"/>
  <c r="AC21" i="30"/>
  <c r="AI21" i="30"/>
  <c r="T16" i="31"/>
  <c r="R16" i="31"/>
  <c r="AC16" i="29"/>
  <c r="AI16" i="29"/>
  <c r="AE12" i="31"/>
  <c r="AI12" i="31"/>
  <c r="AC12" i="31"/>
  <c r="AK23" i="30"/>
  <c r="R21" i="31"/>
  <c r="T21" i="31"/>
  <c r="R17" i="32"/>
  <c r="T17" i="32"/>
  <c r="R15" i="29"/>
  <c r="T15" i="29"/>
  <c r="AE16" i="29"/>
  <c r="R16" i="29"/>
  <c r="T16" i="29"/>
  <c r="T14" i="31"/>
  <c r="R14" i="31"/>
  <c r="R19" i="30"/>
  <c r="T19" i="30"/>
  <c r="R21" i="30"/>
  <c r="T21" i="30"/>
  <c r="AE12" i="32"/>
  <c r="AI12" i="32"/>
  <c r="AC12" i="32"/>
  <c r="T25" i="28"/>
  <c r="R25" i="28"/>
  <c r="AE14" i="29"/>
  <c r="AI14" i="29"/>
  <c r="AC14" i="29"/>
  <c r="T10" i="30"/>
  <c r="R10" i="30"/>
  <c r="R15" i="32"/>
  <c r="T15" i="32"/>
  <c r="AC6" i="31"/>
  <c r="R6" i="31"/>
  <c r="T6" i="31"/>
  <c r="AK22" i="28"/>
  <c r="AI17" i="32"/>
  <c r="AC17" i="32"/>
  <c r="AE17" i="32"/>
  <c r="T23" i="28"/>
  <c r="R23" i="28"/>
  <c r="AE13" i="32"/>
  <c r="AI13" i="32"/>
  <c r="AC13" i="32"/>
  <c r="AI22" i="32"/>
  <c r="AC22" i="32"/>
  <c r="AE22" i="32"/>
  <c r="T20" i="31"/>
  <c r="R20" i="31"/>
  <c r="AK12" i="31"/>
  <c r="AE23" i="30"/>
  <c r="AI23" i="30"/>
  <c r="AC23" i="30"/>
  <c r="AE18" i="31"/>
  <c r="AC18" i="31"/>
  <c r="AI18" i="31"/>
  <c r="R8" i="29"/>
  <c r="T8" i="29"/>
  <c r="AC11" i="31"/>
  <c r="AE11" i="31"/>
  <c r="AI11" i="31"/>
  <c r="AE25" i="28"/>
  <c r="AC25" i="28"/>
  <c r="AI25" i="28"/>
  <c r="R11" i="29"/>
  <c r="T11" i="29"/>
  <c r="AI24" i="30"/>
  <c r="AC24" i="30"/>
  <c r="AE24" i="30"/>
  <c r="R10" i="28"/>
  <c r="T10" i="28"/>
  <c r="AC7" i="32"/>
  <c r="AE7" i="32"/>
  <c r="AI7" i="32"/>
  <c r="T13" i="30"/>
  <c r="R13" i="30"/>
  <c r="AC9" i="31"/>
  <c r="AI9" i="31"/>
  <c r="AE9" i="31"/>
  <c r="AI6" i="29"/>
  <c r="AC6" i="29"/>
  <c r="AE6" i="29"/>
  <c r="T12" i="28"/>
  <c r="R12" i="28"/>
  <c r="AI23" i="29"/>
  <c r="AC23" i="29"/>
  <c r="AE23" i="29"/>
  <c r="AC25" i="32"/>
  <c r="AE25" i="32"/>
  <c r="AI25" i="32"/>
  <c r="AE25" i="31"/>
  <c r="AI25" i="31"/>
  <c r="AC25" i="31"/>
  <c r="R6" i="30"/>
  <c r="T6" i="30"/>
  <c r="T18" i="30"/>
  <c r="R18" i="30"/>
  <c r="AE16" i="32"/>
  <c r="U16" i="32" s="1"/>
  <c r="AC16" i="32"/>
  <c r="AI16" i="32"/>
  <c r="AE20" i="28"/>
  <c r="AI20" i="28"/>
  <c r="AC20" i="28"/>
  <c r="AC12" i="29"/>
  <c r="AE12" i="29"/>
  <c r="AI12" i="29"/>
  <c r="T24" i="28"/>
  <c r="R24" i="28"/>
  <c r="AC11" i="28"/>
  <c r="AI11" i="28"/>
  <c r="AE11" i="28"/>
  <c r="U11" i="28" s="1"/>
  <c r="T21" i="32"/>
  <c r="R21" i="32"/>
  <c r="R7" i="29"/>
  <c r="T7" i="29"/>
  <c r="AC13" i="28"/>
  <c r="R13" i="28"/>
  <c r="T13" i="28"/>
  <c r="T21" i="28"/>
  <c r="R21" i="28"/>
  <c r="AK15" i="29"/>
  <c r="AC11" i="32"/>
  <c r="AE11" i="32"/>
  <c r="AI11" i="32"/>
  <c r="AE14" i="30"/>
  <c r="AC14" i="30"/>
  <c r="AI14" i="30"/>
  <c r="AC13" i="30"/>
  <c r="AI13" i="30"/>
  <c r="AE13" i="30"/>
  <c r="R12" i="32"/>
  <c r="T12" i="32"/>
  <c r="AI19" i="29"/>
  <c r="AC19" i="29"/>
  <c r="AE19" i="29"/>
  <c r="AC20" i="29"/>
  <c r="AE20" i="29"/>
  <c r="AI20" i="29"/>
  <c r="AI16" i="30"/>
  <c r="AC16" i="30"/>
  <c r="AE16" i="30"/>
  <c r="AC8" i="31"/>
  <c r="AE8" i="31"/>
  <c r="AI8" i="31"/>
  <c r="AI24" i="28"/>
  <c r="AC24" i="28"/>
  <c r="AE24" i="28"/>
  <c r="AC17" i="28"/>
  <c r="R17" i="28"/>
  <c r="T17" i="28"/>
  <c r="R22" i="32"/>
  <c r="T22" i="32"/>
  <c r="R11" i="28"/>
  <c r="T11" i="28"/>
  <c r="T23" i="32"/>
  <c r="R23" i="32"/>
  <c r="AK14" i="28"/>
  <c r="R15" i="28"/>
  <c r="AI22" i="29"/>
  <c r="AC22" i="29"/>
  <c r="AE22" i="29"/>
  <c r="U22" i="29" s="1"/>
  <c r="T16" i="32"/>
  <c r="R16" i="32"/>
  <c r="AE6" i="30"/>
  <c r="AI6" i="30"/>
  <c r="AC6" i="30"/>
  <c r="AE15" i="32"/>
  <c r="AC15" i="32"/>
  <c r="AI15" i="32"/>
  <c r="R22" i="29"/>
  <c r="T22" i="29"/>
  <c r="AK8" i="29"/>
  <c r="AI24" i="32"/>
  <c r="AE24" i="32"/>
  <c r="AC24" i="32"/>
  <c r="R7" i="28"/>
  <c r="T7" i="28"/>
  <c r="AK9" i="28"/>
  <c r="AI17" i="29"/>
  <c r="AE17" i="29"/>
  <c r="AC17" i="29"/>
  <c r="AK10" i="28"/>
  <c r="AK8" i="32"/>
  <c r="AK15" i="30"/>
  <c r="AC24" i="31"/>
  <c r="AE24" i="31"/>
  <c r="AI24" i="31"/>
  <c r="AK15" i="31"/>
  <c r="AK23" i="31"/>
  <c r="AK18" i="32"/>
  <c r="AC10" i="31"/>
  <c r="AE10" i="31"/>
  <c r="AI10" i="31"/>
  <c r="AK23" i="32"/>
  <c r="R11" i="30"/>
  <c r="T11" i="30"/>
  <c r="AI6" i="32"/>
  <c r="AE6" i="32"/>
  <c r="AC6" i="32"/>
  <c r="AI18" i="28"/>
  <c r="AE18" i="28"/>
  <c r="AC18" i="28"/>
  <c r="AK6" i="28"/>
  <c r="AK19" i="32"/>
  <c r="AI20" i="32"/>
  <c r="AC20" i="32"/>
  <c r="AE20" i="32"/>
  <c r="AE7" i="31"/>
  <c r="AI7" i="31"/>
  <c r="S7" i="31" s="1"/>
  <c r="AC7" i="31"/>
  <c r="T24" i="29"/>
  <c r="R24" i="29"/>
  <c r="T14" i="32"/>
  <c r="R14" i="32"/>
  <c r="T10" i="31"/>
  <c r="R10" i="31"/>
  <c r="R14" i="28"/>
  <c r="T14" i="28"/>
  <c r="AC13" i="29"/>
  <c r="AE13" i="29"/>
  <c r="U13" i="29" s="1"/>
  <c r="AI13" i="29"/>
  <c r="T19" i="29"/>
  <c r="R19" i="29"/>
  <c r="AE7" i="30"/>
  <c r="AI7" i="30"/>
  <c r="AC7" i="30"/>
  <c r="AE18" i="30"/>
  <c r="AI18" i="30"/>
  <c r="AC18" i="30"/>
  <c r="AI20" i="31"/>
  <c r="AE20" i="31"/>
  <c r="AC20" i="31"/>
  <c r="AE7" i="29"/>
  <c r="AC7" i="29"/>
  <c r="AI7" i="29"/>
  <c r="AI17" i="30"/>
  <c r="AC17" i="30"/>
  <c r="AE17" i="30"/>
  <c r="U17" i="30" s="1"/>
  <c r="AK24" i="30"/>
  <c r="AE14" i="31"/>
  <c r="AI14" i="31"/>
  <c r="AC14" i="31"/>
  <c r="T20" i="29"/>
  <c r="R20" i="29"/>
  <c r="AK23" i="29"/>
  <c r="R16" i="30"/>
  <c r="T16" i="30"/>
  <c r="R17" i="31"/>
  <c r="T17" i="31"/>
  <c r="AK25" i="31"/>
  <c r="AE9" i="29"/>
  <c r="AC9" i="29"/>
  <c r="AI9" i="29"/>
  <c r="AI11" i="30"/>
  <c r="AC11" i="30"/>
  <c r="AE11" i="30"/>
  <c r="AI9" i="30"/>
  <c r="AC9" i="30"/>
  <c r="AE9" i="30"/>
  <c r="U9" i="30" s="1"/>
  <c r="R18" i="31"/>
  <c r="T18" i="31"/>
  <c r="T16" i="28"/>
  <c r="R16" i="28"/>
  <c r="AI15" i="29"/>
  <c r="AC15" i="29"/>
  <c r="AE15" i="29"/>
  <c r="AK11" i="32"/>
  <c r="AK13" i="30"/>
  <c r="R24" i="31"/>
  <c r="T24" i="31"/>
  <c r="T12" i="29"/>
  <c r="R12" i="29"/>
  <c r="AK20" i="29"/>
  <c r="AK16" i="30"/>
  <c r="AK8" i="31"/>
  <c r="AK24" i="28"/>
  <c r="AC10" i="30"/>
  <c r="AI10" i="30"/>
  <c r="AE10" i="30"/>
  <c r="AI14" i="28"/>
  <c r="AC14" i="28"/>
  <c r="AE14" i="28"/>
  <c r="T15" i="28"/>
  <c r="T17" i="30"/>
  <c r="R17" i="30"/>
  <c r="AC23" i="28"/>
  <c r="AE23" i="28"/>
  <c r="AI23" i="28"/>
  <c r="AK6" i="30"/>
  <c r="T9" i="32"/>
  <c r="R9" i="32"/>
  <c r="T20" i="30"/>
  <c r="R20" i="30"/>
  <c r="AE8" i="29"/>
  <c r="AI8" i="29"/>
  <c r="AC8" i="29"/>
  <c r="AC9" i="28"/>
  <c r="AE9" i="28"/>
  <c r="AI9" i="28"/>
  <c r="T7" i="30"/>
  <c r="R7" i="30"/>
  <c r="R20" i="28"/>
  <c r="T20" i="28"/>
  <c r="AE10" i="28"/>
  <c r="AI10" i="28"/>
  <c r="S10" i="28" s="1"/>
  <c r="AC10" i="28"/>
  <c r="R14" i="30"/>
  <c r="T14" i="30"/>
  <c r="AC8" i="32"/>
  <c r="AE8" i="32"/>
  <c r="AI8" i="32"/>
  <c r="AI15" i="30"/>
  <c r="AC15" i="30"/>
  <c r="AE15" i="30"/>
  <c r="AK24" i="31"/>
  <c r="R9" i="31"/>
  <c r="T9" i="31"/>
  <c r="AI15" i="31"/>
  <c r="AC15" i="31"/>
  <c r="AE15" i="31"/>
  <c r="AE23" i="31"/>
  <c r="AC23" i="31"/>
  <c r="AI23" i="31"/>
  <c r="R19" i="32"/>
  <c r="T19" i="32"/>
  <c r="R25" i="29"/>
  <c r="T25" i="29"/>
  <c r="R10" i="32"/>
  <c r="T10" i="32"/>
  <c r="AE18" i="32"/>
  <c r="AC18" i="32"/>
  <c r="AI18" i="32"/>
  <c r="AC18" i="29"/>
  <c r="AE18" i="29"/>
  <c r="AI18" i="29"/>
  <c r="AK10" i="31"/>
  <c r="AE23" i="32"/>
  <c r="AC23" i="32"/>
  <c r="AI23" i="32"/>
  <c r="AC8" i="28"/>
  <c r="AE8" i="28"/>
  <c r="AI8" i="28"/>
  <c r="T9" i="30"/>
  <c r="R9" i="30"/>
  <c r="AK6" i="32"/>
  <c r="AK18" i="28"/>
  <c r="AI6" i="28"/>
  <c r="AC6" i="28"/>
  <c r="AE6" i="28"/>
  <c r="T19" i="28"/>
  <c r="R19" i="28"/>
  <c r="AI19" i="32"/>
  <c r="AC19" i="32"/>
  <c r="AE19" i="32"/>
  <c r="AK20" i="32"/>
  <c r="AK7" i="31"/>
  <c r="AK27" i="32"/>
  <c r="S26" i="31"/>
  <c r="AA30" i="32"/>
  <c r="AC27" i="32"/>
  <c r="AI27" i="32"/>
  <c r="AE27" i="32"/>
  <c r="R27" i="32"/>
  <c r="T27" i="32"/>
  <c r="N28" i="32"/>
  <c r="P28" i="32"/>
  <c r="AH30" i="32"/>
  <c r="AJ30" i="32" s="1"/>
  <c r="AB30" i="32"/>
  <c r="AD30" i="32" s="1"/>
  <c r="O29" i="32"/>
  <c r="Q29" i="32"/>
  <c r="P29" i="32"/>
  <c r="N29" i="32"/>
  <c r="Q28" i="32"/>
  <c r="O28" i="32"/>
  <c r="AA30" i="31"/>
  <c r="P28" i="31"/>
  <c r="N28" i="31"/>
  <c r="P29" i="31"/>
  <c r="N29" i="31"/>
  <c r="AH30" i="31"/>
  <c r="AJ30" i="31" s="1"/>
  <c r="AB30" i="31"/>
  <c r="AD30" i="31" s="1"/>
  <c r="O28" i="31"/>
  <c r="Q28" i="31"/>
  <c r="Q29" i="31"/>
  <c r="O29" i="31"/>
  <c r="R27" i="31"/>
  <c r="T27" i="31"/>
  <c r="AC27" i="31"/>
  <c r="AI27" i="31"/>
  <c r="AE27" i="31"/>
  <c r="AE26" i="30"/>
  <c r="AI26" i="30"/>
  <c r="AC26" i="30"/>
  <c r="N27" i="30"/>
  <c r="P27" i="30"/>
  <c r="R26" i="30"/>
  <c r="T26" i="30"/>
  <c r="O27" i="30"/>
  <c r="Q27" i="30"/>
  <c r="AH29" i="30"/>
  <c r="AJ29" i="30" s="1"/>
  <c r="AB29" i="30"/>
  <c r="AD29" i="30" s="1"/>
  <c r="W29" i="30"/>
  <c r="M29" i="30"/>
  <c r="M28" i="30"/>
  <c r="AH28" i="30"/>
  <c r="AJ28" i="30" s="1"/>
  <c r="W28" i="30"/>
  <c r="AB28" i="30"/>
  <c r="AD28" i="30" s="1"/>
  <c r="Q28" i="29"/>
  <c r="O28" i="29"/>
  <c r="R27" i="29"/>
  <c r="T27" i="29"/>
  <c r="O29" i="29"/>
  <c r="Q29" i="29"/>
  <c r="AA30" i="29"/>
  <c r="AH30" i="29"/>
  <c r="AJ30" i="29" s="1"/>
  <c r="AB30" i="29"/>
  <c r="AD30" i="29" s="1"/>
  <c r="AC27" i="29"/>
  <c r="AE27" i="29"/>
  <c r="AI27" i="29"/>
  <c r="P28" i="29"/>
  <c r="N28" i="29"/>
  <c r="P29" i="29"/>
  <c r="N29" i="29"/>
  <c r="P29" i="28"/>
  <c r="N29" i="28"/>
  <c r="O28" i="28"/>
  <c r="Q28" i="28"/>
  <c r="O29" i="28"/>
  <c r="Q29" i="28"/>
  <c r="AK27" i="28"/>
  <c r="AA30" i="28"/>
  <c r="P28" i="28"/>
  <c r="N28" i="28"/>
  <c r="AH30" i="28"/>
  <c r="AJ30" i="28" s="1"/>
  <c r="AB30" i="28"/>
  <c r="AD30" i="28" s="1"/>
  <c r="AC27" i="28"/>
  <c r="AE27" i="28"/>
  <c r="AI27" i="28"/>
  <c r="R27" i="28"/>
  <c r="T27" i="28"/>
  <c r="BS24" i="15"/>
  <c r="BS12" i="15"/>
  <c r="BS19" i="15"/>
  <c r="BR29" i="15"/>
  <c r="BR10" i="15"/>
  <c r="BR8" i="15"/>
  <c r="BR14" i="15"/>
  <c r="BC6" i="15"/>
  <c r="BF6" i="15" s="1"/>
  <c r="BI6" i="15" s="1"/>
  <c r="BC26" i="15"/>
  <c r="BF26" i="15" s="1"/>
  <c r="BI26" i="15" s="1"/>
  <c r="BC7" i="15"/>
  <c r="BF7" i="15" s="1"/>
  <c r="BI7" i="15" s="1"/>
  <c r="BS7" i="15"/>
  <c r="AA19" i="15"/>
  <c r="AA12" i="15"/>
  <c r="BL16" i="15"/>
  <c r="BL12" i="15"/>
  <c r="BL11" i="15"/>
  <c r="BL13" i="15"/>
  <c r="BL19" i="15"/>
  <c r="BL23" i="15"/>
  <c r="BF15" i="15"/>
  <c r="BI15" i="15" s="1"/>
  <c r="BD15" i="15"/>
  <c r="BG15" i="15" s="1"/>
  <c r="BH15" i="15" s="1"/>
  <c r="BO15" i="15" s="1"/>
  <c r="BL29" i="15"/>
  <c r="BL20" i="15"/>
  <c r="BL25" i="15"/>
  <c r="BL21" i="15"/>
  <c r="BL9" i="15"/>
  <c r="BL22" i="15"/>
  <c r="BF27" i="15"/>
  <c r="BI27" i="15" s="1"/>
  <c r="BD27" i="15"/>
  <c r="BG27" i="15" s="1"/>
  <c r="BH27" i="15" s="1"/>
  <c r="BO27" i="15" s="1"/>
  <c r="BF30" i="15"/>
  <c r="BI30" i="15" s="1"/>
  <c r="BD30" i="15"/>
  <c r="BG30" i="15" s="1"/>
  <c r="BH30" i="15" s="1"/>
  <c r="BO30" i="15" s="1"/>
  <c r="BL14" i="15"/>
  <c r="BL8" i="15"/>
  <c r="BL17" i="15"/>
  <c r="BL18" i="15"/>
  <c r="BL10" i="15"/>
  <c r="AA24" i="15"/>
  <c r="BF24" i="15"/>
  <c r="BI24" i="15" s="1"/>
  <c r="BF28" i="15"/>
  <c r="BI28" i="15" s="1"/>
  <c r="BD28" i="15"/>
  <c r="BG28" i="15" s="1"/>
  <c r="BH28" i="15" s="1"/>
  <c r="BO28" i="15" s="1"/>
  <c r="S13" i="32" l="1"/>
  <c r="S12" i="31"/>
  <c r="S9" i="32"/>
  <c r="S10" i="30"/>
  <c r="S11" i="30"/>
  <c r="S12" i="29"/>
  <c r="S9" i="31"/>
  <c r="S12" i="32"/>
  <c r="S15" i="28"/>
  <c r="S13" i="29"/>
  <c r="S10" i="31"/>
  <c r="S13" i="30"/>
  <c r="S11" i="31"/>
  <c r="S14" i="32"/>
  <c r="S12" i="28"/>
  <c r="S14" i="28"/>
  <c r="S15" i="29"/>
  <c r="S8" i="31"/>
  <c r="S11" i="32"/>
  <c r="S10" i="32"/>
  <c r="S8" i="32"/>
  <c r="S9" i="28"/>
  <c r="S14" i="30"/>
  <c r="S12" i="30"/>
  <c r="S9" i="30"/>
  <c r="S14" i="31"/>
  <c r="S13" i="28"/>
  <c r="S13" i="31"/>
  <c r="S21" i="30"/>
  <c r="S25" i="30"/>
  <c r="Q38" i="29"/>
  <c r="Q38" i="28"/>
  <c r="B66" i="26" s="1"/>
  <c r="Q38" i="31"/>
  <c r="B63" i="26" s="1"/>
  <c r="Q38" i="32"/>
  <c r="B67" i="26" s="1"/>
  <c r="S26" i="29"/>
  <c r="S21" i="28"/>
  <c r="S20" i="29"/>
  <c r="S7" i="29"/>
  <c r="S14" i="29"/>
  <c r="S21" i="32"/>
  <c r="S24" i="31"/>
  <c r="S25" i="32"/>
  <c r="S11" i="29"/>
  <c r="S6" i="28"/>
  <c r="S8" i="28"/>
  <c r="S10" i="29"/>
  <c r="S16" i="28"/>
  <c r="S7" i="30"/>
  <c r="S6" i="30"/>
  <c r="U11" i="31"/>
  <c r="S18" i="28"/>
  <c r="BP34" i="31"/>
  <c r="U18" i="31"/>
  <c r="BO34" i="15"/>
  <c r="B65" i="26"/>
  <c r="Y27" i="15"/>
  <c r="X27" i="15"/>
  <c r="BP27" i="15"/>
  <c r="BP24" i="15"/>
  <c r="Y24" i="15"/>
  <c r="X24" i="15"/>
  <c r="Y30" i="15"/>
  <c r="X30" i="15"/>
  <c r="BP30" i="15"/>
  <c r="Y7" i="15"/>
  <c r="X7" i="15"/>
  <c r="BP7" i="15"/>
  <c r="BI32" i="30"/>
  <c r="Y30" i="30"/>
  <c r="X30" i="30"/>
  <c r="BP30" i="30"/>
  <c r="BP32" i="30" s="1"/>
  <c r="Q37" i="30" s="1"/>
  <c r="G55" i="26" s="1"/>
  <c r="BO32" i="15"/>
  <c r="Q36" i="15" s="1"/>
  <c r="F53" i="26" s="1"/>
  <c r="BO34" i="30"/>
  <c r="BO32" i="30"/>
  <c r="Q36" i="30" s="1"/>
  <c r="F55" i="26" s="1"/>
  <c r="Y6" i="15"/>
  <c r="X6" i="15"/>
  <c r="BP6" i="15"/>
  <c r="Y28" i="15"/>
  <c r="BP28" i="15"/>
  <c r="X28" i="15"/>
  <c r="Y26" i="15"/>
  <c r="X26" i="15"/>
  <c r="BP26" i="15"/>
  <c r="BP34" i="28"/>
  <c r="BP32" i="29"/>
  <c r="Q37" i="29" s="1"/>
  <c r="G56" i="26" s="1"/>
  <c r="Y15" i="15"/>
  <c r="X15" i="15"/>
  <c r="BP15" i="15"/>
  <c r="BP32" i="32"/>
  <c r="Q37" i="32" s="1"/>
  <c r="BP34" i="32"/>
  <c r="S18" i="29"/>
  <c r="S17" i="29"/>
  <c r="S17" i="32"/>
  <c r="S16" i="29"/>
  <c r="S7" i="32"/>
  <c r="S19" i="32"/>
  <c r="S6" i="32"/>
  <c r="S8" i="30"/>
  <c r="S6" i="31"/>
  <c r="S9" i="29"/>
  <c r="S15" i="32"/>
  <c r="S15" i="30"/>
  <c r="S8" i="29"/>
  <c r="S16" i="30"/>
  <c r="S17" i="30"/>
  <c r="S18" i="30"/>
  <c r="S16" i="32"/>
  <c r="S17" i="28"/>
  <c r="S15" i="31"/>
  <c r="S19" i="29"/>
  <c r="S16" i="31"/>
  <c r="S17" i="31"/>
  <c r="S11" i="28"/>
  <c r="U18" i="29"/>
  <c r="U12" i="32"/>
  <c r="U18" i="30"/>
  <c r="U17" i="28"/>
  <c r="U27" i="31"/>
  <c r="U9" i="31"/>
  <c r="U15" i="28"/>
  <c r="U20" i="30"/>
  <c r="U7" i="29"/>
  <c r="U12" i="29"/>
  <c r="U20" i="28"/>
  <c r="U11" i="30"/>
  <c r="U21" i="30"/>
  <c r="U10" i="32"/>
  <c r="U19" i="28"/>
  <c r="U9" i="32"/>
  <c r="S18" i="32"/>
  <c r="U14" i="30"/>
  <c r="S6" i="29"/>
  <c r="S18" i="31"/>
  <c r="BR30" i="30"/>
  <c r="BJ30" i="30"/>
  <c r="BI34" i="30"/>
  <c r="BM30" i="30"/>
  <c r="U7" i="28"/>
  <c r="U23" i="28"/>
  <c r="U20" i="31"/>
  <c r="U24" i="32"/>
  <c r="U21" i="31"/>
  <c r="U27" i="29"/>
  <c r="U14" i="31"/>
  <c r="U7" i="30"/>
  <c r="U7" i="32"/>
  <c r="U19" i="30"/>
  <c r="U22" i="31"/>
  <c r="U11" i="29"/>
  <c r="U13" i="28"/>
  <c r="U19" i="32"/>
  <c r="U16" i="29"/>
  <c r="U9" i="29"/>
  <c r="U25" i="32"/>
  <c r="U17" i="32"/>
  <c r="U12" i="30"/>
  <c r="U8" i="28"/>
  <c r="U6" i="29"/>
  <c r="U25" i="29"/>
  <c r="U24" i="29"/>
  <c r="U17" i="31"/>
  <c r="U25" i="28"/>
  <c r="U17" i="29"/>
  <c r="U14" i="28"/>
  <c r="U26" i="30"/>
  <c r="U19" i="29"/>
  <c r="U10" i="30"/>
  <c r="U16" i="28"/>
  <c r="U21" i="32"/>
  <c r="U21" i="29"/>
  <c r="U15" i="32"/>
  <c r="U8" i="32"/>
  <c r="U8" i="29"/>
  <c r="U6" i="28"/>
  <c r="S19" i="28"/>
  <c r="S19" i="30"/>
  <c r="U13" i="32"/>
  <c r="U14" i="29"/>
  <c r="U19" i="31"/>
  <c r="U14" i="32"/>
  <c r="U12" i="28"/>
  <c r="S24" i="30"/>
  <c r="U23" i="30"/>
  <c r="S23" i="32"/>
  <c r="S23" i="31"/>
  <c r="S27" i="28"/>
  <c r="U27" i="32"/>
  <c r="U15" i="31"/>
  <c r="S22" i="29"/>
  <c r="S24" i="28"/>
  <c r="S25" i="31"/>
  <c r="S25" i="28"/>
  <c r="S23" i="30"/>
  <c r="S20" i="31"/>
  <c r="U15" i="30"/>
  <c r="S23" i="29"/>
  <c r="S22" i="31"/>
  <c r="S22" i="30"/>
  <c r="S19" i="31"/>
  <c r="S24" i="32"/>
  <c r="S20" i="28"/>
  <c r="S21" i="31"/>
  <c r="U18" i="32"/>
  <c r="U9" i="28"/>
  <c r="S23" i="28"/>
  <c r="U25" i="31"/>
  <c r="U23" i="29"/>
  <c r="U22" i="28"/>
  <c r="U23" i="32"/>
  <c r="U10" i="28"/>
  <c r="U15" i="29"/>
  <c r="S22" i="28"/>
  <c r="U7" i="31"/>
  <c r="U10" i="31"/>
  <c r="U24" i="28"/>
  <c r="U8" i="31"/>
  <c r="U11" i="32"/>
  <c r="U12" i="31"/>
  <c r="S21" i="29"/>
  <c r="S24" i="29"/>
  <c r="S20" i="30"/>
  <c r="U6" i="31"/>
  <c r="U18" i="28"/>
  <c r="U23" i="31"/>
  <c r="U20" i="32"/>
  <c r="U6" i="30"/>
  <c r="U13" i="30"/>
  <c r="U24" i="30"/>
  <c r="U22" i="32"/>
  <c r="U21" i="28"/>
  <c r="S26" i="30"/>
  <c r="S27" i="32"/>
  <c r="S20" i="32"/>
  <c r="U6" i="32"/>
  <c r="U24" i="31"/>
  <c r="U16" i="30"/>
  <c r="U20" i="29"/>
  <c r="S22" i="32"/>
  <c r="S25" i="29"/>
  <c r="U27" i="28"/>
  <c r="AK29" i="28"/>
  <c r="S27" i="29"/>
  <c r="AK27" i="30"/>
  <c r="AK29" i="32"/>
  <c r="AK28" i="32"/>
  <c r="AK28" i="28"/>
  <c r="S27" i="31"/>
  <c r="AK29" i="31"/>
  <c r="AE28" i="32"/>
  <c r="U28" i="32" s="1"/>
  <c r="AI28" i="32"/>
  <c r="AC28" i="32"/>
  <c r="AI29" i="32"/>
  <c r="AC29" i="32"/>
  <c r="AE29" i="32"/>
  <c r="AI30" i="32"/>
  <c r="AC30" i="32"/>
  <c r="AG30" i="32"/>
  <c r="T29" i="32"/>
  <c r="R29" i="32"/>
  <c r="T28" i="32"/>
  <c r="R28" i="32"/>
  <c r="AE28" i="31"/>
  <c r="AI28" i="31"/>
  <c r="AC28" i="31"/>
  <c r="T28" i="31"/>
  <c r="R28" i="31"/>
  <c r="AI30" i="31"/>
  <c r="AC30" i="31"/>
  <c r="AG30" i="31"/>
  <c r="AI29" i="31"/>
  <c r="AC29" i="31"/>
  <c r="AE29" i="31"/>
  <c r="T29" i="31"/>
  <c r="R29" i="31"/>
  <c r="AK28" i="31"/>
  <c r="AA30" i="30"/>
  <c r="N28" i="30"/>
  <c r="P28" i="30"/>
  <c r="AC27" i="30"/>
  <c r="AE27" i="30"/>
  <c r="AI27" i="30"/>
  <c r="R27" i="30"/>
  <c r="T27" i="30"/>
  <c r="AH30" i="30"/>
  <c r="AJ30" i="30" s="1"/>
  <c r="AB30" i="30"/>
  <c r="AD30" i="30" s="1"/>
  <c r="Q28" i="30"/>
  <c r="O28" i="30"/>
  <c r="P29" i="30"/>
  <c r="N29" i="30"/>
  <c r="O29" i="30"/>
  <c r="Q29" i="30"/>
  <c r="T28" i="29"/>
  <c r="R28" i="29"/>
  <c r="AI30" i="29"/>
  <c r="AC30" i="29"/>
  <c r="AG30" i="29"/>
  <c r="AK29" i="29"/>
  <c r="AI29" i="29"/>
  <c r="AC29" i="29"/>
  <c r="AE29" i="29"/>
  <c r="AE28" i="29"/>
  <c r="AI28" i="29"/>
  <c r="AC28" i="29"/>
  <c r="T29" i="29"/>
  <c r="R29" i="29"/>
  <c r="AK28" i="29"/>
  <c r="T28" i="28"/>
  <c r="R28" i="28"/>
  <c r="AI30" i="28"/>
  <c r="AC30" i="28"/>
  <c r="AG30" i="28"/>
  <c r="AE28" i="28"/>
  <c r="AI28" i="28"/>
  <c r="AC28" i="28"/>
  <c r="T29" i="28"/>
  <c r="R29" i="28"/>
  <c r="AI29" i="28"/>
  <c r="AC29" i="28"/>
  <c r="AE29" i="28"/>
  <c r="BS14" i="15"/>
  <c r="BS13" i="15"/>
  <c r="BS11" i="15"/>
  <c r="BS8" i="15"/>
  <c r="BS9" i="15"/>
  <c r="BS20" i="15"/>
  <c r="BR16" i="15"/>
  <c r="BR18" i="15"/>
  <c r="W22" i="15"/>
  <c r="BR22" i="15"/>
  <c r="BS30" i="15"/>
  <c r="BS29" i="15"/>
  <c r="BS16" i="15"/>
  <c r="BS25" i="15"/>
  <c r="BR12" i="15"/>
  <c r="BR19" i="15"/>
  <c r="BS22" i="15"/>
  <c r="BS21" i="15"/>
  <c r="BR13" i="15"/>
  <c r="BR9" i="15"/>
  <c r="BR25" i="15"/>
  <c r="BR11" i="15"/>
  <c r="BS26" i="15"/>
  <c r="BS17" i="15"/>
  <c r="BS6" i="15"/>
  <c r="BS18" i="15"/>
  <c r="BS23" i="15"/>
  <c r="BS10" i="15"/>
  <c r="BR21" i="15"/>
  <c r="BR23" i="15"/>
  <c r="BR17" i="15"/>
  <c r="BR20" i="15"/>
  <c r="BG34" i="15"/>
  <c r="M8" i="15"/>
  <c r="BJ10" i="15"/>
  <c r="M22" i="15"/>
  <c r="Q29" i="15"/>
  <c r="BG32" i="15"/>
  <c r="BF34" i="15"/>
  <c r="BF32" i="15"/>
  <c r="M14" i="15"/>
  <c r="M29" i="15"/>
  <c r="AB14" i="15"/>
  <c r="AD14" i="15" s="1"/>
  <c r="AB17" i="15"/>
  <c r="AD17" i="15" s="1"/>
  <c r="N20" i="15"/>
  <c r="W21" i="15"/>
  <c r="M17" i="15"/>
  <c r="W17" i="15"/>
  <c r="Q21" i="15"/>
  <c r="N17" i="15"/>
  <c r="AH21" i="15"/>
  <c r="AJ21" i="15" s="1"/>
  <c r="BJ20" i="15"/>
  <c r="BJ21" i="15"/>
  <c r="W20" i="15"/>
  <c r="Q17" i="15"/>
  <c r="N21" i="15"/>
  <c r="AH20" i="15"/>
  <c r="AJ20" i="15" s="1"/>
  <c r="AB21" i="15"/>
  <c r="AD21" i="15" s="1"/>
  <c r="M20" i="15"/>
  <c r="BJ17" i="15"/>
  <c r="M21" i="15"/>
  <c r="Q20" i="15"/>
  <c r="AB20" i="15"/>
  <c r="AD20" i="15" s="1"/>
  <c r="AH17" i="15"/>
  <c r="AJ17" i="15" s="1"/>
  <c r="AB9" i="15"/>
  <c r="AD9" i="15" s="1"/>
  <c r="AB8" i="15"/>
  <c r="AD8" i="15" s="1"/>
  <c r="AH19" i="15"/>
  <c r="AJ19" i="15" s="1"/>
  <c r="AB10" i="15"/>
  <c r="AD10" i="15" s="1"/>
  <c r="N25" i="15"/>
  <c r="AH14" i="15"/>
  <c r="AJ14" i="15" s="1"/>
  <c r="AH18" i="15"/>
  <c r="AJ18" i="15" s="1"/>
  <c r="P22" i="15"/>
  <c r="AH29" i="15"/>
  <c r="AJ29" i="15" s="1"/>
  <c r="AA11" i="15"/>
  <c r="AG11" i="15" s="1"/>
  <c r="AA9" i="15"/>
  <c r="AG9" i="15" s="1"/>
  <c r="AA30" i="15"/>
  <c r="AI30" i="15" s="1"/>
  <c r="BJ18" i="15"/>
  <c r="O18" i="15"/>
  <c r="O14" i="15"/>
  <c r="AH22" i="15"/>
  <c r="AJ22" i="15" s="1"/>
  <c r="AA13" i="15"/>
  <c r="AG13" i="15" s="1"/>
  <c r="AA8" i="15"/>
  <c r="AG8" i="15" s="1"/>
  <c r="AA20" i="15"/>
  <c r="AG20" i="15" s="1"/>
  <c r="M18" i="15"/>
  <c r="P18" i="15"/>
  <c r="W14" i="15"/>
  <c r="AB22" i="15"/>
  <c r="AD22" i="15" s="1"/>
  <c r="AA6" i="15"/>
  <c r="AG6" i="15" s="1"/>
  <c r="AA18" i="15"/>
  <c r="AG18" i="15" s="1"/>
  <c r="AA23" i="15"/>
  <c r="AG23" i="15" s="1"/>
  <c r="AA10" i="15"/>
  <c r="AG10" i="15" s="1"/>
  <c r="BM20" i="15"/>
  <c r="BJ22" i="15"/>
  <c r="BJ14" i="15"/>
  <c r="BJ29" i="15"/>
  <c r="Q22" i="15"/>
  <c r="P14" i="15"/>
  <c r="N29" i="15"/>
  <c r="AB29" i="15"/>
  <c r="AD29" i="15" s="1"/>
  <c r="AB18" i="15"/>
  <c r="AD18" i="15" s="1"/>
  <c r="BM29" i="15"/>
  <c r="AA16" i="15"/>
  <c r="AG16" i="15" s="1"/>
  <c r="AA25" i="15"/>
  <c r="AG25" i="15" s="1"/>
  <c r="W18" i="15"/>
  <c r="W29" i="15"/>
  <c r="M9" i="15"/>
  <c r="AH25" i="15"/>
  <c r="AJ25" i="15" s="1"/>
  <c r="AB25" i="15"/>
  <c r="AD25" i="15" s="1"/>
  <c r="Q25" i="15"/>
  <c r="P9" i="15"/>
  <c r="M25" i="15"/>
  <c r="Q10" i="15"/>
  <c r="P8" i="15"/>
  <c r="M10" i="15"/>
  <c r="W10" i="15"/>
  <c r="W25" i="15"/>
  <c r="W9" i="15"/>
  <c r="W8" i="15"/>
  <c r="AH10" i="15"/>
  <c r="AH9" i="15"/>
  <c r="AH8" i="15"/>
  <c r="BJ25" i="15"/>
  <c r="BJ8" i="15"/>
  <c r="BJ9" i="15"/>
  <c r="N10" i="15"/>
  <c r="Q9" i="15"/>
  <c r="Q8" i="15"/>
  <c r="BM9" i="15"/>
  <c r="BR7" i="15"/>
  <c r="BL7" i="15"/>
  <c r="BL26" i="15"/>
  <c r="BL6" i="15"/>
  <c r="BM14" i="15"/>
  <c r="AG12" i="15"/>
  <c r="AG19" i="15"/>
  <c r="AG24" i="15"/>
  <c r="BM8" i="15"/>
  <c r="BM18" i="15"/>
  <c r="BM10" i="15"/>
  <c r="BM25" i="15"/>
  <c r="AA29" i="15"/>
  <c r="AA26" i="15"/>
  <c r="AA14" i="15"/>
  <c r="AA22" i="15"/>
  <c r="AA17" i="15"/>
  <c r="AA7" i="15"/>
  <c r="AA21" i="15"/>
  <c r="BM22" i="15"/>
  <c r="BM17" i="15"/>
  <c r="BM21" i="15"/>
  <c r="AB11" i="15"/>
  <c r="AH11" i="15"/>
  <c r="AB16" i="15"/>
  <c r="AH16" i="15"/>
  <c r="AB12" i="15"/>
  <c r="AH12" i="15"/>
  <c r="AB23" i="15"/>
  <c r="AH23" i="15"/>
  <c r="AB13" i="15"/>
  <c r="AH13" i="15"/>
  <c r="BM19" i="15"/>
  <c r="AB19" i="15"/>
  <c r="W12" i="15"/>
  <c r="N12" i="15"/>
  <c r="W13" i="15"/>
  <c r="W19" i="15"/>
  <c r="W23" i="15"/>
  <c r="W11" i="15"/>
  <c r="W16" i="15"/>
  <c r="M11" i="15"/>
  <c r="BJ11" i="15"/>
  <c r="M13" i="15"/>
  <c r="BJ13" i="15"/>
  <c r="M19" i="15"/>
  <c r="BJ19" i="15"/>
  <c r="M12" i="15"/>
  <c r="BJ12" i="15"/>
  <c r="M16" i="15"/>
  <c r="BJ16" i="15"/>
  <c r="M23" i="15"/>
  <c r="BJ23" i="15"/>
  <c r="BM16" i="15"/>
  <c r="BM12" i="15"/>
  <c r="BM13" i="15"/>
  <c r="BM23" i="15"/>
  <c r="BL15" i="15"/>
  <c r="BM11" i="15"/>
  <c r="BL28" i="15"/>
  <c r="BL24" i="15"/>
  <c r="BL27" i="15"/>
  <c r="BL30" i="15"/>
  <c r="Q38" i="30" l="1"/>
  <c r="B64" i="26" s="1"/>
  <c r="S28" i="28"/>
  <c r="BP34" i="15"/>
  <c r="BP32" i="15"/>
  <c r="Q37" i="15" s="1"/>
  <c r="G53" i="26" s="1"/>
  <c r="BP34" i="30"/>
  <c r="S29" i="28"/>
  <c r="AK28" i="30"/>
  <c r="U29" i="28"/>
  <c r="S29" i="31"/>
  <c r="U28" i="28"/>
  <c r="S28" i="32"/>
  <c r="S28" i="29"/>
  <c r="S27" i="30"/>
  <c r="U29" i="32"/>
  <c r="U30" i="32" s="1"/>
  <c r="U34" i="32" s="1"/>
  <c r="U29" i="31"/>
  <c r="S28" i="31"/>
  <c r="S29" i="32"/>
  <c r="S29" i="29"/>
  <c r="AK29" i="30"/>
  <c r="U27" i="30"/>
  <c r="U28" i="31"/>
  <c r="AI29" i="30"/>
  <c r="AC29" i="30"/>
  <c r="AE29" i="30"/>
  <c r="AI30" i="30"/>
  <c r="AC30" i="30"/>
  <c r="AG30" i="30"/>
  <c r="T29" i="30"/>
  <c r="R29" i="30"/>
  <c r="T28" i="30"/>
  <c r="R28" i="30"/>
  <c r="AE28" i="30"/>
  <c r="AI28" i="30"/>
  <c r="AC28" i="30"/>
  <c r="U28" i="29"/>
  <c r="U29" i="29"/>
  <c r="BR27" i="15"/>
  <c r="BS27" i="15"/>
  <c r="BR6" i="15"/>
  <c r="BR24" i="15"/>
  <c r="BR30" i="15"/>
  <c r="BS28" i="15"/>
  <c r="BR28" i="15"/>
  <c r="BS15" i="15"/>
  <c r="BR26" i="15"/>
  <c r="BR15" i="15"/>
  <c r="O21" i="15"/>
  <c r="AC21" i="15" s="1"/>
  <c r="O17" i="15"/>
  <c r="AC17" i="15" s="1"/>
  <c r="O29" i="15"/>
  <c r="AI29" i="15" s="1"/>
  <c r="BH34" i="15"/>
  <c r="BH32" i="15"/>
  <c r="BI34" i="15"/>
  <c r="BI32" i="15"/>
  <c r="P20" i="15"/>
  <c r="R20" i="15" s="1"/>
  <c r="P17" i="15"/>
  <c r="AK17" i="15" s="1"/>
  <c r="P21" i="15"/>
  <c r="R21" i="15" s="1"/>
  <c r="N14" i="15"/>
  <c r="AI14" i="15" s="1"/>
  <c r="O20" i="15"/>
  <c r="AC20" i="15" s="1"/>
  <c r="AC30" i="15"/>
  <c r="AG30" i="15"/>
  <c r="N18" i="15"/>
  <c r="R18" i="15" s="1"/>
  <c r="P25" i="15"/>
  <c r="AK25" i="15" s="1"/>
  <c r="N22" i="15"/>
  <c r="R22" i="15" s="1"/>
  <c r="BM6" i="15"/>
  <c r="BM7" i="15"/>
  <c r="BM26" i="15"/>
  <c r="AB27" i="15"/>
  <c r="AD27" i="15" s="1"/>
  <c r="AB28" i="15"/>
  <c r="AD28" i="15" s="1"/>
  <c r="Q14" i="15"/>
  <c r="AK14" i="15" s="1"/>
  <c r="P29" i="15"/>
  <c r="T29" i="15" s="1"/>
  <c r="AA15" i="15"/>
  <c r="AG15" i="15" s="1"/>
  <c r="O22" i="15"/>
  <c r="N24" i="15"/>
  <c r="Q18" i="15"/>
  <c r="AK18" i="15" s="1"/>
  <c r="AA28" i="15"/>
  <c r="AG28" i="15" s="1"/>
  <c r="AA27" i="15"/>
  <c r="AG27" i="15" s="1"/>
  <c r="O10" i="15"/>
  <c r="AC10" i="15" s="1"/>
  <c r="P10" i="15"/>
  <c r="R10" i="15" s="1"/>
  <c r="O8" i="15"/>
  <c r="N8" i="15"/>
  <c r="O25" i="15"/>
  <c r="AE25" i="15" s="1"/>
  <c r="N9" i="15"/>
  <c r="R9" i="15" s="1"/>
  <c r="O9" i="15"/>
  <c r="AD19" i="15"/>
  <c r="AD13" i="15"/>
  <c r="AD12" i="15"/>
  <c r="AD11" i="15"/>
  <c r="AD23" i="15"/>
  <c r="AD16" i="15"/>
  <c r="AB30" i="15"/>
  <c r="AH30" i="15"/>
  <c r="W24" i="15"/>
  <c r="AH24" i="15"/>
  <c r="BJ27" i="15"/>
  <c r="BM30" i="15"/>
  <c r="BJ30" i="15"/>
  <c r="BJ24" i="15"/>
  <c r="AJ12" i="15"/>
  <c r="AJ11" i="15"/>
  <c r="BM24" i="15"/>
  <c r="M24" i="15"/>
  <c r="M27" i="15"/>
  <c r="Q27" i="15"/>
  <c r="O24" i="15"/>
  <c r="AB24" i="15"/>
  <c r="N27" i="15"/>
  <c r="AJ23" i="15"/>
  <c r="AJ16" i="15"/>
  <c r="AH27" i="15"/>
  <c r="AJ8" i="15"/>
  <c r="AK8" i="15" s="1"/>
  <c r="AJ13" i="15"/>
  <c r="AJ10" i="15"/>
  <c r="W27" i="15"/>
  <c r="AJ9" i="15"/>
  <c r="AK9" i="15" s="1"/>
  <c r="O28" i="15"/>
  <c r="BJ28" i="15"/>
  <c r="M28" i="15"/>
  <c r="N28" i="15"/>
  <c r="AH28" i="15"/>
  <c r="W28" i="15"/>
  <c r="AH26" i="15"/>
  <c r="W26" i="15"/>
  <c r="M26" i="15"/>
  <c r="BJ26" i="15"/>
  <c r="AB26" i="15"/>
  <c r="M6" i="15"/>
  <c r="BJ6" i="15"/>
  <c r="AB6" i="15"/>
  <c r="W6" i="15"/>
  <c r="AH6" i="15"/>
  <c r="BJ7" i="15"/>
  <c r="M7" i="15"/>
  <c r="AB7" i="15"/>
  <c r="AH7" i="15"/>
  <c r="W7" i="15"/>
  <c r="AG7" i="15"/>
  <c r="AG17" i="15"/>
  <c r="AG29" i="15"/>
  <c r="AG22" i="15"/>
  <c r="AG26" i="15"/>
  <c r="AG21" i="15"/>
  <c r="AG14" i="15"/>
  <c r="BM27" i="15"/>
  <c r="BM28" i="15"/>
  <c r="AK22" i="15"/>
  <c r="AB15" i="15"/>
  <c r="AH15" i="15"/>
  <c r="P12" i="15"/>
  <c r="N19" i="15"/>
  <c r="P19" i="15"/>
  <c r="Q11" i="15"/>
  <c r="O23" i="15"/>
  <c r="Q23" i="15"/>
  <c r="N13" i="15"/>
  <c r="P13" i="15"/>
  <c r="O16" i="15"/>
  <c r="Q16" i="15"/>
  <c r="N16" i="15"/>
  <c r="P16" i="15"/>
  <c r="N11" i="15"/>
  <c r="P11" i="15"/>
  <c r="N23" i="15"/>
  <c r="P23" i="15"/>
  <c r="O19" i="15"/>
  <c r="Q19" i="15"/>
  <c r="O13" i="15"/>
  <c r="Q13" i="15"/>
  <c r="Q12" i="15"/>
  <c r="O12" i="15"/>
  <c r="O11" i="15"/>
  <c r="W15" i="15"/>
  <c r="M15" i="15"/>
  <c r="BJ15" i="15"/>
  <c r="BM15" i="15"/>
  <c r="AI17" i="15" l="1"/>
  <c r="S17" i="15" s="1"/>
  <c r="S29" i="30"/>
  <c r="Q40" i="28"/>
  <c r="G74" i="26" s="1"/>
  <c r="U28" i="30"/>
  <c r="Q39" i="28"/>
  <c r="E74" i="26" s="1"/>
  <c r="U30" i="28"/>
  <c r="U34" i="28" s="1"/>
  <c r="D57" i="26" s="1"/>
  <c r="Q39" i="32"/>
  <c r="E75" i="26" s="1"/>
  <c r="Q40" i="32"/>
  <c r="G75" i="26" s="1"/>
  <c r="Q39" i="31"/>
  <c r="E71" i="26" s="1"/>
  <c r="U29" i="30"/>
  <c r="U30" i="31"/>
  <c r="Q40" i="31"/>
  <c r="G71" i="26" s="1"/>
  <c r="S28" i="30"/>
  <c r="T30" i="32"/>
  <c r="Q39" i="29"/>
  <c r="E73" i="26" s="1"/>
  <c r="Q40" i="29"/>
  <c r="G73" i="26" s="1"/>
  <c r="U30" i="29"/>
  <c r="U34" i="29" s="1"/>
  <c r="D56" i="26" s="1"/>
  <c r="AI21" i="15"/>
  <c r="S21" i="15" s="1"/>
  <c r="AE21" i="15"/>
  <c r="AC29" i="15"/>
  <c r="S29" i="15" s="1"/>
  <c r="AE17" i="15"/>
  <c r="U17" i="15" s="1"/>
  <c r="AK20" i="15"/>
  <c r="T20" i="15"/>
  <c r="AE29" i="15"/>
  <c r="R17" i="15"/>
  <c r="AI22" i="15"/>
  <c r="T21" i="15"/>
  <c r="AK21" i="15"/>
  <c r="AI24" i="15"/>
  <c r="T17" i="15"/>
  <c r="AE14" i="15"/>
  <c r="U14" i="15" s="1"/>
  <c r="R14" i="15"/>
  <c r="T14" i="15"/>
  <c r="AC18" i="15"/>
  <c r="AE20" i="15"/>
  <c r="AE18" i="15"/>
  <c r="U18" i="15" s="1"/>
  <c r="AC14" i="15"/>
  <c r="S14" i="15" s="1"/>
  <c r="AI18" i="15"/>
  <c r="T18" i="15"/>
  <c r="AE10" i="15"/>
  <c r="AI20" i="15"/>
  <c r="S20" i="15" s="1"/>
  <c r="T22" i="15"/>
  <c r="AE22" i="15"/>
  <c r="U22" i="15" s="1"/>
  <c r="T25" i="15"/>
  <c r="R25" i="15"/>
  <c r="AI10" i="15"/>
  <c r="S10" i="15" s="1"/>
  <c r="AC25" i="15"/>
  <c r="AK10" i="15"/>
  <c r="AK29" i="15"/>
  <c r="R29" i="15"/>
  <c r="T10" i="15"/>
  <c r="AE9" i="15"/>
  <c r="U9" i="15" s="1"/>
  <c r="P24" i="15"/>
  <c r="R24" i="15" s="1"/>
  <c r="AC22" i="15"/>
  <c r="AC8" i="15"/>
  <c r="AI25" i="15"/>
  <c r="AE8" i="15"/>
  <c r="U8" i="15" s="1"/>
  <c r="AC9" i="15"/>
  <c r="R8" i="15"/>
  <c r="AI8" i="15"/>
  <c r="T8" i="15"/>
  <c r="AI9" i="15"/>
  <c r="T9" i="15"/>
  <c r="AJ24" i="15"/>
  <c r="O27" i="15"/>
  <c r="AC27" i="15" s="1"/>
  <c r="AD30" i="15"/>
  <c r="AD7" i="15"/>
  <c r="AD24" i="15"/>
  <c r="AE24" i="15" s="1"/>
  <c r="AD15" i="15"/>
  <c r="AD6" i="15"/>
  <c r="AD26" i="15"/>
  <c r="P27" i="15"/>
  <c r="AJ30" i="15"/>
  <c r="AK12" i="15"/>
  <c r="Q28" i="15"/>
  <c r="AJ27" i="15"/>
  <c r="AJ7" i="15"/>
  <c r="AJ6" i="15"/>
  <c r="AJ15" i="15"/>
  <c r="AC24" i="15"/>
  <c r="Q24" i="15"/>
  <c r="AJ26" i="15"/>
  <c r="AJ28" i="15"/>
  <c r="P28" i="15"/>
  <c r="AI28" i="15"/>
  <c r="N7" i="15"/>
  <c r="P7" i="15"/>
  <c r="Q6" i="15"/>
  <c r="O6" i="15"/>
  <c r="Q7" i="15"/>
  <c r="O7" i="15"/>
  <c r="N26" i="15"/>
  <c r="P26" i="15"/>
  <c r="P6" i="15"/>
  <c r="N6" i="15"/>
  <c r="Q26" i="15"/>
  <c r="O26" i="15"/>
  <c r="U25" i="15"/>
  <c r="AE28" i="15"/>
  <c r="AC28" i="15"/>
  <c r="AK16" i="15"/>
  <c r="AK13" i="15"/>
  <c r="AK19" i="15"/>
  <c r="AI16" i="15"/>
  <c r="AE16" i="15"/>
  <c r="AK11" i="15"/>
  <c r="AI23" i="15"/>
  <c r="AE23" i="15"/>
  <c r="AI13" i="15"/>
  <c r="AE13" i="15"/>
  <c r="AI11" i="15"/>
  <c r="AE11" i="15"/>
  <c r="AE19" i="15"/>
  <c r="AI12" i="15"/>
  <c r="AE12" i="15"/>
  <c r="AK23" i="15"/>
  <c r="AI19" i="15"/>
  <c r="T16" i="15"/>
  <c r="R16" i="15"/>
  <c r="T13" i="15"/>
  <c r="R13" i="15"/>
  <c r="R12" i="15"/>
  <c r="T12" i="15"/>
  <c r="R23" i="15"/>
  <c r="T23" i="15"/>
  <c r="R11" i="15"/>
  <c r="T11" i="15"/>
  <c r="R19" i="15"/>
  <c r="T19" i="15"/>
  <c r="AC19" i="15"/>
  <c r="AC12" i="15"/>
  <c r="AC13" i="15"/>
  <c r="AC16" i="15"/>
  <c r="AC23" i="15"/>
  <c r="AC11" i="15"/>
  <c r="N15" i="15"/>
  <c r="P15" i="15"/>
  <c r="O15" i="15"/>
  <c r="Q15" i="15"/>
  <c r="Q38" i="15" l="1"/>
  <c r="B62" i="26" s="1"/>
  <c r="T30" i="28"/>
  <c r="T34" i="28" s="1"/>
  <c r="B57" i="26" s="1"/>
  <c r="Q39" i="30"/>
  <c r="E72" i="26" s="1"/>
  <c r="T30" i="31"/>
  <c r="U34" i="31"/>
  <c r="D54" i="26" s="1"/>
  <c r="T34" i="32"/>
  <c r="U21" i="15"/>
  <c r="U30" i="30"/>
  <c r="Q40" i="30"/>
  <c r="G72" i="26" s="1"/>
  <c r="T30" i="29"/>
  <c r="T34" i="29" s="1"/>
  <c r="B56" i="26" s="1"/>
  <c r="U20" i="15"/>
  <c r="S8" i="15"/>
  <c r="S22" i="15"/>
  <c r="S25" i="15"/>
  <c r="U29" i="15"/>
  <c r="S9" i="15"/>
  <c r="S24" i="15"/>
  <c r="S18" i="15"/>
  <c r="U10" i="15"/>
  <c r="AE27" i="15"/>
  <c r="AK27" i="15"/>
  <c r="T28" i="15"/>
  <c r="T27" i="15"/>
  <c r="AK26" i="15"/>
  <c r="R28" i="15"/>
  <c r="AI27" i="15"/>
  <c r="S27" i="15" s="1"/>
  <c r="S28" i="15"/>
  <c r="AK24" i="15"/>
  <c r="U24" i="15" s="1"/>
  <c r="T24" i="15"/>
  <c r="R27" i="15"/>
  <c r="AK28" i="15"/>
  <c r="U28" i="15" s="1"/>
  <c r="U12" i="15"/>
  <c r="AK7" i="15"/>
  <c r="AK6" i="15"/>
  <c r="R26" i="15"/>
  <c r="T26" i="15"/>
  <c r="T6" i="15"/>
  <c r="R6" i="15"/>
  <c r="AE7" i="15"/>
  <c r="AC7" i="15"/>
  <c r="AI7" i="15"/>
  <c r="AE26" i="15"/>
  <c r="AI26" i="15"/>
  <c r="AC26" i="15"/>
  <c r="T7" i="15"/>
  <c r="R7" i="15"/>
  <c r="AE6" i="15"/>
  <c r="AC6" i="15"/>
  <c r="AI6" i="15"/>
  <c r="S23" i="15"/>
  <c r="S11" i="15"/>
  <c r="S16" i="15"/>
  <c r="S12" i="15"/>
  <c r="S13" i="15"/>
  <c r="AK15" i="15"/>
  <c r="AI15" i="15"/>
  <c r="AE15" i="15"/>
  <c r="U19" i="15"/>
  <c r="U13" i="15"/>
  <c r="S19" i="15"/>
  <c r="U11" i="15"/>
  <c r="U16" i="15"/>
  <c r="R15" i="15"/>
  <c r="T15" i="15"/>
  <c r="U23" i="15"/>
  <c r="AC15" i="15"/>
  <c r="T34" i="31" l="1"/>
  <c r="B54" i="26" s="1"/>
  <c r="U34" i="30"/>
  <c r="D55" i="26" s="1"/>
  <c r="T30" i="30"/>
  <c r="S6" i="15"/>
  <c r="S7" i="15"/>
  <c r="S26" i="15"/>
  <c r="U27" i="15"/>
  <c r="U26" i="15"/>
  <c r="U7" i="15"/>
  <c r="S15" i="15"/>
  <c r="U15" i="15"/>
  <c r="U6" i="15"/>
  <c r="T34" i="30" l="1"/>
  <c r="B55" i="26" s="1"/>
  <c r="Q40" i="15"/>
  <c r="G70" i="26" s="1"/>
  <c r="Q39" i="15"/>
  <c r="E70" i="26" s="1"/>
  <c r="U30" i="15"/>
  <c r="U34" i="15" l="1"/>
  <c r="D53" i="26" s="1"/>
  <c r="T30" i="15"/>
  <c r="T34" i="15" l="1"/>
  <c r="B53" i="26" s="1"/>
</calcChain>
</file>

<file path=xl/comments1.xml><?xml version="1.0" encoding="utf-8"?>
<comments xmlns="http://schemas.openxmlformats.org/spreadsheetml/2006/main">
  <authors>
    <author>Derek</author>
  </authors>
  <commentList>
    <comment ref="D49" authorId="0" shapeId="0">
      <text>
        <r>
          <rPr>
            <b/>
            <sz val="9"/>
            <color indexed="81"/>
            <rFont val="Tahoma"/>
            <family val="2"/>
          </rPr>
          <t>Must be negative.</t>
        </r>
        <r>
          <rPr>
            <sz val="9"/>
            <color indexed="81"/>
            <rFont val="Tahoma"/>
            <family val="2"/>
          </rPr>
          <t xml:space="preserve">
</t>
        </r>
      </text>
    </comment>
  </commentList>
</comments>
</file>

<file path=xl/comments2.xml><?xml version="1.0" encoding="utf-8"?>
<comments xmlns="http://schemas.openxmlformats.org/spreadsheetml/2006/main">
  <authors>
    <author>Derek</author>
  </authors>
  <commentList>
    <comment ref="A9" authorId="0" shapeId="0">
      <text>
        <r>
          <rPr>
            <b/>
            <sz val="9"/>
            <color indexed="81"/>
            <rFont val="Tahoma"/>
            <family val="2"/>
          </rPr>
          <t>Not required for Standing Mode</t>
        </r>
        <r>
          <rPr>
            <sz val="9"/>
            <color indexed="81"/>
            <rFont val="Tahoma"/>
            <family val="2"/>
          </rPr>
          <t xml:space="preserve">
</t>
        </r>
      </text>
    </comment>
  </commentList>
</comments>
</file>

<file path=xl/comments3.xml><?xml version="1.0" encoding="utf-8"?>
<comments xmlns="http://schemas.openxmlformats.org/spreadsheetml/2006/main">
  <authors>
    <author>Derek</author>
  </authors>
  <commentList>
    <comment ref="A9" authorId="0" shapeId="0">
      <text>
        <r>
          <rPr>
            <b/>
            <sz val="9"/>
            <color indexed="81"/>
            <rFont val="Tahoma"/>
            <family val="2"/>
          </rPr>
          <t>Not required for Travelling Mode</t>
        </r>
        <r>
          <rPr>
            <sz val="9"/>
            <color indexed="81"/>
            <rFont val="Tahoma"/>
            <family val="2"/>
          </rPr>
          <t xml:space="preserve">
</t>
        </r>
      </text>
    </comment>
    <comment ref="A20" authorId="0" shapeId="0">
      <text>
        <r>
          <rPr>
            <b/>
            <sz val="9"/>
            <color indexed="81"/>
            <rFont val="Tahoma"/>
            <family val="2"/>
          </rPr>
          <t>Not required for Travelling Mode</t>
        </r>
        <r>
          <rPr>
            <sz val="9"/>
            <color indexed="81"/>
            <rFont val="Tahoma"/>
            <family val="2"/>
          </rPr>
          <t xml:space="preserve">
</t>
        </r>
      </text>
    </comment>
  </commentList>
</comments>
</file>

<file path=xl/comments4.xml><?xml version="1.0" encoding="utf-8"?>
<comments xmlns="http://schemas.openxmlformats.org/spreadsheetml/2006/main">
  <authors>
    <author>Derek</author>
  </authors>
  <commentList>
    <comment ref="D28" authorId="0" shapeId="0">
      <text>
        <r>
          <rPr>
            <b/>
            <sz val="9"/>
            <color indexed="81"/>
            <rFont val="Tahoma"/>
            <family val="2"/>
          </rPr>
          <t>Must be negative.</t>
        </r>
        <r>
          <rPr>
            <sz val="9"/>
            <color indexed="81"/>
            <rFont val="Tahoma"/>
            <family val="2"/>
          </rPr>
          <t xml:space="preserve">
</t>
        </r>
      </text>
    </comment>
  </commentList>
</comments>
</file>

<file path=xl/sharedStrings.xml><?xml version="1.0" encoding="utf-8"?>
<sst xmlns="http://schemas.openxmlformats.org/spreadsheetml/2006/main" count="1412" uniqueCount="248">
  <si>
    <t>Mass (kg)</t>
  </si>
  <si>
    <t>Track Bearing Length (m)</t>
  </si>
  <si>
    <t>Track pad width (m)</t>
  </si>
  <si>
    <t>Counterweight</t>
  </si>
  <si>
    <t>ecc</t>
  </si>
  <si>
    <t>Bearing</t>
  </si>
  <si>
    <t>Equivalent Bearing</t>
  </si>
  <si>
    <t>(m)</t>
  </si>
  <si>
    <t>Len. (m)</t>
  </si>
  <si>
    <t>L (m)</t>
  </si>
  <si>
    <t>Q (KPa)</t>
  </si>
  <si>
    <t>RH Track loading dimensions</t>
  </si>
  <si>
    <t>Relative Angle - Upper Body and Tracks (degrees)</t>
  </si>
  <si>
    <t>Average track bearing pressure (kN/m^2)</t>
  </si>
  <si>
    <t>Maximum Extraction Force (kN)</t>
  </si>
  <si>
    <t>Schedule of Piling Rig Component Weights, Dimensions, Forces and Pressures</t>
  </si>
  <si>
    <t>Rig Manufacturer :</t>
  </si>
  <si>
    <t>Item</t>
  </si>
  <si>
    <t>COUNTERWEIGHT</t>
  </si>
  <si>
    <t>Track bearing length (m)</t>
  </si>
  <si>
    <t>Operation mode:</t>
  </si>
  <si>
    <t>Actual Shape</t>
  </si>
  <si>
    <t>Maximum Penetration Force (kN)</t>
  </si>
  <si>
    <t>Maximum Auxillary Force (kN)</t>
  </si>
  <si>
    <t>OTHER</t>
  </si>
  <si>
    <t>Transformation from triangular or trapizoidal to an equivalent rectangular pressure distribution under track maintaining the load centriod</t>
  </si>
  <si>
    <t>Max Track loading dimensions</t>
  </si>
  <si>
    <t>LH Track loading dimensions</t>
  </si>
  <si>
    <t>Other</t>
  </si>
  <si>
    <t>Foot Pad Area (m2)</t>
  </si>
  <si>
    <t>Maximum Equivalent Design Values</t>
  </si>
  <si>
    <t>LOWER WORKS</t>
  </si>
  <si>
    <t>UPPER WORKS</t>
  </si>
  <si>
    <t>None</t>
  </si>
  <si>
    <t>Tracks</t>
  </si>
  <si>
    <t>Distance between centrelines of tracks (m)</t>
  </si>
  <si>
    <t>Notes</t>
  </si>
  <si>
    <t>Standing</t>
  </si>
  <si>
    <t>Mode :</t>
  </si>
  <si>
    <t>Extracting</t>
  </si>
  <si>
    <t>Penetrating</t>
  </si>
  <si>
    <t>Handling</t>
  </si>
  <si>
    <t>Travelling</t>
  </si>
  <si>
    <t>The user of this spreadsheet shall input data into the relevant yellow boxes on this worksheet and on all of the other relevant worksheets</t>
  </si>
  <si>
    <t>Notes on Using this Table</t>
  </si>
  <si>
    <t>By trial and error, adjust Foot Pad Forces to eliminate "error" messages and equalise bearing pressures on both tracks and foot pads (highlighted in red boxes).</t>
  </si>
  <si>
    <t>When applying Auxilliary or Extraction Line Pull, ensure that Penetration Force is zero.</t>
  </si>
  <si>
    <t>ONLY A COMPETENT PERSON MAY USE THIS TABLE !</t>
  </si>
  <si>
    <t>Net extraction or penetration force is the applied value minus the weight of any rope / kelly / chain suspended equipment.</t>
  </si>
  <si>
    <t>Fill in values in all yellow boxes appropriate for this mode -</t>
  </si>
  <si>
    <t>MODE</t>
  </si>
  <si>
    <t>password = platform</t>
  </si>
  <si>
    <t>Mast Assembly</t>
  </si>
  <si>
    <t>Base Machine</t>
  </si>
  <si>
    <t xml:space="preserve">BRE LOAD CASE ( 1 or 2 ) </t>
  </si>
  <si>
    <t>Checked by:</t>
  </si>
  <si>
    <t>Completed by:</t>
  </si>
  <si>
    <t>Pressure Summary for Platform Design (unfactored)</t>
  </si>
  <si>
    <t>Federation of Piling Specialists (the “FPS”)</t>
  </si>
  <si>
    <t xml:space="preserve">Rig Loadings Spreadsheet  (the “Spreadsheet”) </t>
  </si>
  <si>
    <t>Disclaimer</t>
  </si>
  <si>
    <t>Whilst we have taken steps to check the accuracy of the Spreadsheet, the FPS and the authors of the Spreadsheet do not give any warranty, guarantee, representation or other assurance as to:  the operation, quality or functionality of the Spreadsheet; the accuracy or completeness of the Spreadsheet; or its fitness for any particular purpose.</t>
  </si>
  <si>
    <t xml:space="preserve">To the fullest extent permissible by law, the FPS and the authors of the Spreadsheet each disclaim all responsibility for any damages or losses (including, without limitation, financial loss, damages for loss in business projects, loss of profits or other consequential losses) arising in contract, tort or otherwise from the use of or inability to use the Spreadsheet, or from any action or decision taken as a result of using the Spreadsheet. </t>
  </si>
  <si>
    <t>[1]   BRE Report 470, Working Platforms for Tracked Plant, 2004</t>
  </si>
  <si>
    <t>Note:  The disclaimer on the first worksheet applies to all tables in this workbook</t>
  </si>
  <si>
    <t xml:space="preserve">The Spreadsheet has been designed without liability with the intention of assisting in the calculation of track bearing pressures for use in the BRE Design Method[1].  The Spreadsheet contains sample data, which are intended only to illustrate how the Spreadsheet may be operated, and do not represent any specific rig .  </t>
  </si>
  <si>
    <t>Weight (kN)</t>
  </si>
  <si>
    <t>X - Coordinate</t>
  </si>
  <si>
    <t>Y - Coordinate</t>
  </si>
  <si>
    <t>Moment Mx (kNm)</t>
  </si>
  <si>
    <t>Moment My (kNm)</t>
  </si>
  <si>
    <t>Date:</t>
  </si>
  <si>
    <t>Bearing Area</t>
  </si>
  <si>
    <t>Max. Pad Loading</t>
  </si>
  <si>
    <t>Front Pad 1</t>
  </si>
  <si>
    <t>Front Pad 2</t>
  </si>
  <si>
    <t>Description</t>
  </si>
  <si>
    <t>Rear Pad 1</t>
  </si>
  <si>
    <t>Rear Pad 2</t>
  </si>
  <si>
    <t>kN</t>
  </si>
  <si>
    <t>m</t>
  </si>
  <si>
    <t>Force</t>
  </si>
  <si>
    <t>UPPER WORKS (Slewing)</t>
  </si>
  <si>
    <t>Counterweight (slewing)</t>
  </si>
  <si>
    <t>Upper Works (slewing)</t>
  </si>
  <si>
    <t>Other (slewing)</t>
  </si>
  <si>
    <t>Moment Mx</t>
  </si>
  <si>
    <t>Moment My</t>
  </si>
  <si>
    <t>Check sume of moments</t>
  </si>
  <si>
    <t>Max. Allowable (kN)</t>
  </si>
  <si>
    <t>Applied Force (kN)</t>
  </si>
  <si>
    <t>Applied Extraction Force</t>
  </si>
  <si>
    <t>Applied Penetration Force</t>
  </si>
  <si>
    <t>Applied Auxillary Force</t>
  </si>
  <si>
    <t>Total Rig Weight (kN)</t>
  </si>
  <si>
    <t>Track Centerline Dist. (m)</t>
  </si>
  <si>
    <t>Calculation of Revised Point of Application of Actions</t>
  </si>
  <si>
    <t>Non-Slewing Actions</t>
  </si>
  <si>
    <t>Resukltant Force</t>
  </si>
  <si>
    <t>X Coordinate</t>
  </si>
  <si>
    <t>Y coordinate</t>
  </si>
  <si>
    <t>Moment x</t>
  </si>
  <si>
    <t>Moment y</t>
  </si>
  <si>
    <r>
      <t xml:space="preserve">Coordinates with </t>
    </r>
    <r>
      <rPr>
        <sz val="10"/>
        <rFont val="Symbol"/>
        <family val="1"/>
        <charset val="2"/>
      </rPr>
      <t>q</t>
    </r>
    <r>
      <rPr>
        <sz val="10"/>
        <rFont val="Arial"/>
        <family val="2"/>
      </rPr>
      <t>=0</t>
    </r>
    <r>
      <rPr>
        <vertAlign val="superscript"/>
        <sz val="10"/>
        <rFont val="Arial"/>
        <family val="2"/>
      </rPr>
      <t>o</t>
    </r>
  </si>
  <si>
    <r>
      <t xml:space="preserve">Angle </t>
    </r>
    <r>
      <rPr>
        <sz val="11"/>
        <rFont val="Symbol"/>
        <family val="1"/>
        <charset val="2"/>
      </rPr>
      <t>b</t>
    </r>
  </si>
  <si>
    <r>
      <t>Radius of Eccentricity, e</t>
    </r>
    <r>
      <rPr>
        <vertAlign val="subscript"/>
        <sz val="11"/>
        <rFont val="Arial"/>
        <family val="2"/>
      </rPr>
      <t>s</t>
    </r>
  </si>
  <si>
    <t>Resultant of Slewing &amp; non-slewing Moments</t>
  </si>
  <si>
    <t>Revised Coordinates</t>
  </si>
  <si>
    <t>X</t>
  </si>
  <si>
    <t>Y</t>
  </si>
  <si>
    <t>Resultant of all Actions (kN)</t>
  </si>
  <si>
    <t>Y Coordinate</t>
  </si>
  <si>
    <t>Vector Sum of Moments</t>
  </si>
  <si>
    <r>
      <t xml:space="preserve">Slewing Actions - Initial Data </t>
    </r>
    <r>
      <rPr>
        <sz val="10"/>
        <rFont val="Symbol"/>
        <family val="1"/>
        <charset val="2"/>
      </rPr>
      <t>q</t>
    </r>
    <r>
      <rPr>
        <sz val="10"/>
        <rFont val="Arial"/>
        <family val="2"/>
      </rPr>
      <t>=0</t>
    </r>
    <r>
      <rPr>
        <vertAlign val="superscript"/>
        <sz val="10"/>
        <rFont val="Arial"/>
        <family val="2"/>
      </rPr>
      <t>o</t>
    </r>
  </si>
  <si>
    <t>LHS</t>
  </si>
  <si>
    <t>x</t>
  </si>
  <si>
    <t>y</t>
  </si>
  <si>
    <t>RHS</t>
  </si>
  <si>
    <t>Coordinates &amp; Moments of Slewing Actions after Slewing</t>
  </si>
  <si>
    <r>
      <t xml:space="preserve">Total Resultant Moment Angle </t>
    </r>
    <r>
      <rPr>
        <sz val="10"/>
        <rFont val="Symbol"/>
        <family val="1"/>
        <charset val="2"/>
      </rPr>
      <t>c</t>
    </r>
  </si>
  <si>
    <t>Slew Angle - Upper Body and Tracks (degrees)</t>
  </si>
  <si>
    <t>ey&gt;d/2</t>
  </si>
  <si>
    <t>ex&gt;t/2</t>
  </si>
  <si>
    <t>Is Resultant Action out side of tracks?</t>
  </si>
  <si>
    <t>Resultants &gt;d/6</t>
  </si>
  <si>
    <t>If ey&lt;0 s1 &amp; s2 switch track ends</t>
  </si>
  <si>
    <t>Max bearing pressure L.H. track (kN/m^2)</t>
  </si>
  <si>
    <t>Min pressure L.H. track (kN/m^2)</t>
  </si>
  <si>
    <t>Max bearing pressure R.H. track (kN/m^2)</t>
  </si>
  <si>
    <t>Min bearing pressure R.H. track (kN/m^2)</t>
  </si>
  <si>
    <r>
      <t xml:space="preserve">Min Bearing pressure, </t>
    </r>
    <r>
      <rPr>
        <sz val="12"/>
        <rFont val="Symbol"/>
        <family val="1"/>
        <charset val="2"/>
      </rPr>
      <t>s</t>
    </r>
    <r>
      <rPr>
        <sz val="10"/>
        <rFont val="Arial"/>
        <family val="2"/>
      </rPr>
      <t xml:space="preserve">1 </t>
    </r>
    <r>
      <rPr>
        <sz val="10"/>
        <rFont val="Symbol"/>
        <family val="1"/>
        <charset val="2"/>
      </rPr>
      <t>q</t>
    </r>
    <r>
      <rPr>
        <sz val="10"/>
        <rFont val="Arial"/>
        <family val="2"/>
      </rPr>
      <t>=0</t>
    </r>
    <r>
      <rPr>
        <vertAlign val="superscript"/>
        <sz val="10"/>
        <rFont val="Arial"/>
        <family val="2"/>
      </rPr>
      <t>o</t>
    </r>
    <r>
      <rPr>
        <sz val="10"/>
        <rFont val="Arial"/>
        <family val="2"/>
      </rPr>
      <t xml:space="preserve"> Track (kN/m^2)</t>
    </r>
  </si>
  <si>
    <r>
      <t xml:space="preserve">Max Bearing pressure, </t>
    </r>
    <r>
      <rPr>
        <sz val="12"/>
        <rFont val="Symbol"/>
        <family val="1"/>
        <charset val="2"/>
      </rPr>
      <t>s</t>
    </r>
    <r>
      <rPr>
        <sz val="10"/>
        <rFont val="Arial"/>
        <family val="2"/>
      </rPr>
      <t xml:space="preserve">2 </t>
    </r>
    <r>
      <rPr>
        <sz val="10"/>
        <rFont val="Symbol"/>
        <family val="1"/>
        <charset val="2"/>
      </rPr>
      <t>q</t>
    </r>
    <r>
      <rPr>
        <sz val="10"/>
        <rFont val="Arial"/>
        <family val="2"/>
      </rPr>
      <t>=0</t>
    </r>
    <r>
      <rPr>
        <vertAlign val="superscript"/>
        <sz val="10"/>
        <rFont val="Arial"/>
        <family val="2"/>
      </rPr>
      <t>o</t>
    </r>
    <r>
      <rPr>
        <sz val="10"/>
        <rFont val="Arial"/>
        <family val="2"/>
      </rPr>
      <t xml:space="preserve"> Track (kN/m^2)</t>
    </r>
  </si>
  <si>
    <t>Force on track</t>
  </si>
  <si>
    <r>
      <t>P</t>
    </r>
    <r>
      <rPr>
        <vertAlign val="subscript"/>
        <sz val="11"/>
        <rFont val="Arial"/>
        <family val="2"/>
      </rPr>
      <t>l,ey</t>
    </r>
  </si>
  <si>
    <t>Effective length</t>
  </si>
  <si>
    <t>Y eccentricity of load on LH track</t>
  </si>
  <si>
    <t>Leff</t>
  </si>
  <si>
    <t>Equivalent UDL Bearing Length</t>
  </si>
  <si>
    <t>Leq</t>
  </si>
  <si>
    <t>Equivalent UDL Bearing Pressure</t>
  </si>
  <si>
    <t>Y eccentricity of load on RH track</t>
  </si>
  <si>
    <r>
      <t>Max &amp; Min Track Pressures with Slew Angle = 0</t>
    </r>
    <r>
      <rPr>
        <vertAlign val="superscript"/>
        <sz val="10"/>
        <rFont val="Arial"/>
        <family val="2"/>
      </rPr>
      <t>o</t>
    </r>
  </si>
  <si>
    <t>(kPa)</t>
  </si>
  <si>
    <r>
      <rPr>
        <sz val="14"/>
        <rFont val="Symbol"/>
        <family val="1"/>
        <charset val="2"/>
      </rPr>
      <t>s</t>
    </r>
    <r>
      <rPr>
        <vertAlign val="subscript"/>
        <sz val="11"/>
        <rFont val="Arial"/>
        <family val="2"/>
      </rPr>
      <t>eq</t>
    </r>
  </si>
  <si>
    <r>
      <t>P</t>
    </r>
    <r>
      <rPr>
        <vertAlign val="subscript"/>
        <sz val="10"/>
        <rFont val="Arial"/>
        <family val="2"/>
      </rPr>
      <t>L</t>
    </r>
  </si>
  <si>
    <r>
      <t>P</t>
    </r>
    <r>
      <rPr>
        <vertAlign val="subscript"/>
        <sz val="10"/>
        <rFont val="Arial"/>
        <family val="2"/>
      </rPr>
      <t>R</t>
    </r>
  </si>
  <si>
    <t>(kN)</t>
  </si>
  <si>
    <t>LOWER WORKS (Slewing)</t>
  </si>
  <si>
    <t>Front Foot Pads - Non-Slewing</t>
  </si>
  <si>
    <t>Main Components - Slewing:</t>
  </si>
  <si>
    <t>Foot Pads - Slewing :</t>
  </si>
  <si>
    <t>Forces - Slewing</t>
  </si>
  <si>
    <t>Main Components - Non-Slewing:</t>
  </si>
  <si>
    <t>SLEWING ACTIONS</t>
  </si>
  <si>
    <t>NON-SLEWING ACTIONS</t>
  </si>
  <si>
    <t>Lower Works Non-Slewing</t>
  </si>
  <si>
    <t>Summary of Non-slewing Actions</t>
  </si>
  <si>
    <t>Summary of Slewing Actions</t>
  </si>
  <si>
    <t>Applied Pressure (kPa)</t>
  </si>
  <si>
    <t>Actual Dimension</t>
  </si>
  <si>
    <t>Max. Pad Pressure</t>
  </si>
  <si>
    <t>Max. Slewing Foot Pads Bearing  Pressure (kPa) &amp; Equivalent Bearing Length (m)</t>
  </si>
  <si>
    <t>Max. Non-Slewing Foot Pads Bearing  Pressure (kPa) &amp; Equivalent Bearing Length (m)</t>
  </si>
  <si>
    <t>Slewing foot pad message</t>
  </si>
  <si>
    <t>Non-Slewing foot pad message</t>
  </si>
  <si>
    <t>MIN</t>
  </si>
  <si>
    <t>Track pressure distribution warning</t>
  </si>
  <si>
    <r>
      <t>Pad Area (m</t>
    </r>
    <r>
      <rPr>
        <vertAlign val="superscript"/>
        <sz val="9"/>
        <rFont val="Arial"/>
        <family val="2"/>
      </rPr>
      <t>2</t>
    </r>
    <r>
      <rPr>
        <sz val="9"/>
        <rFont val="Arial"/>
        <family val="2"/>
      </rPr>
      <t>)</t>
    </r>
  </si>
  <si>
    <t>Maximum Track Values</t>
  </si>
  <si>
    <t>Extraction Line Pull +ve Z direction. Enter applied force (kN) in appropriate yellow box (G9). Note the maximum design force in the adjacent box (FH9).</t>
  </si>
  <si>
    <t>Auxilliary Line Pull  +ve Z direction.   Enter applied force (kN) in appropriate yellow box (G11). Note the maximum design force in the adjacent box (H11).</t>
  </si>
  <si>
    <t>Penetration Force -ve Z direction.   Enter applied force (kN) in appropriate yellow box (G10) - must be negavtive as it imposes an upwards resultant force. Note the maximum design force in the adjacent box (H10).</t>
  </si>
  <si>
    <t>Slewing Foot Pad Forces +ve Z direction.   Enter applied total force (kN) in appropriate yellow boxes (G12 to G15). Note the maximum the machine can develop is given in the adjacent boxes.</t>
  </si>
  <si>
    <t>Non-Slewing Foot Pad Forces -ve Z direction.   Enter applied total force (kN) in appropriate yellow boxes (G20 to G23). Note the maximum the machine can develop is given in the adjacent boxes.</t>
  </si>
  <si>
    <t>Weight / Force Applied (kN)</t>
  </si>
  <si>
    <t>COUNTER-WEIGHT (Slewing)</t>
  </si>
  <si>
    <t>Lower Works Non-Slewing (undercarriage/tracks etc)</t>
  </si>
  <si>
    <r>
      <t>m</t>
    </r>
    <r>
      <rPr>
        <vertAlign val="superscript"/>
        <sz val="13"/>
        <rFont val="Arial"/>
        <family val="2"/>
      </rPr>
      <t>2</t>
    </r>
  </si>
  <si>
    <t>MAX</t>
  </si>
  <si>
    <t>Slewing</t>
  </si>
  <si>
    <t>YES</t>
  </si>
  <si>
    <t>NO</t>
  </si>
  <si>
    <t>Auxillary Line</t>
  </si>
  <si>
    <t>Extraction Force</t>
  </si>
  <si>
    <t>Penetration Force</t>
  </si>
  <si>
    <t>Evaluation of Footpad Error Messages</t>
  </si>
  <si>
    <t>Non-Slewing</t>
  </si>
  <si>
    <t>1=Error</t>
  </si>
  <si>
    <t>0=OK</t>
  </si>
  <si>
    <t>Max</t>
  </si>
  <si>
    <t>If Max =</t>
  </si>
  <si>
    <r>
      <t xml:space="preserve">TOTAL/RESULTANT (with </t>
    </r>
    <r>
      <rPr>
        <b/>
        <sz val="13"/>
        <color theme="1"/>
        <rFont val="Symbol"/>
        <family val="1"/>
        <charset val="2"/>
      </rPr>
      <t>q</t>
    </r>
    <r>
      <rPr>
        <b/>
        <sz val="13"/>
        <color theme="1"/>
        <rFont val="Arial"/>
        <family val="2"/>
      </rPr>
      <t>=0)</t>
    </r>
  </si>
  <si>
    <r>
      <t xml:space="preserve">TOTAL/RESULTANT (with </t>
    </r>
    <r>
      <rPr>
        <sz val="13"/>
        <color theme="1"/>
        <rFont val="Symbol"/>
        <family val="1"/>
        <charset val="2"/>
      </rPr>
      <t>q</t>
    </r>
    <r>
      <rPr>
        <sz val="13"/>
        <color theme="1"/>
        <rFont val="Arial"/>
        <family val="2"/>
      </rPr>
      <t>=0)</t>
    </r>
  </si>
  <si>
    <r>
      <t xml:space="preserve">Slewing Components Totals/Resultant (with </t>
    </r>
    <r>
      <rPr>
        <b/>
        <sz val="12"/>
        <color indexed="8"/>
        <rFont val="Symbol"/>
        <family val="1"/>
        <charset val="2"/>
      </rPr>
      <t>q</t>
    </r>
    <r>
      <rPr>
        <b/>
        <sz val="12"/>
        <color indexed="8"/>
        <rFont val="Arial"/>
        <family val="2"/>
      </rPr>
      <t>=0)</t>
    </r>
  </si>
  <si>
    <r>
      <t>m</t>
    </r>
    <r>
      <rPr>
        <vertAlign val="superscript"/>
        <sz val="12"/>
        <rFont val="Arial"/>
        <family val="2"/>
      </rPr>
      <t>2</t>
    </r>
  </si>
  <si>
    <r>
      <t>m</t>
    </r>
    <r>
      <rPr>
        <vertAlign val="superscript"/>
        <sz val="13"/>
        <color theme="1"/>
        <rFont val="Arial"/>
        <family val="2"/>
      </rPr>
      <t>2</t>
    </r>
  </si>
  <si>
    <t>Equiv. Track Length (m)</t>
  </si>
  <si>
    <t>Equiv. Track Width (m)</t>
  </si>
  <si>
    <r>
      <t>Equiv. Uniform Bearing Pressure, q</t>
    </r>
    <r>
      <rPr>
        <b/>
        <vertAlign val="subscript"/>
        <sz val="12"/>
        <color indexed="57"/>
        <rFont val="Arial"/>
        <family val="2"/>
      </rPr>
      <t>eq</t>
    </r>
    <r>
      <rPr>
        <b/>
        <sz val="12"/>
        <color indexed="57"/>
        <rFont val="Arial"/>
        <family val="2"/>
      </rPr>
      <t xml:space="preserve"> (kPa)</t>
    </r>
  </si>
  <si>
    <t xml:space="preserve">BRE LOAD CASE (1 or 2) </t>
  </si>
  <si>
    <t>ERROR MESSAGES FOR FOOT PAD FORCES</t>
  </si>
  <si>
    <t>ERROR MESSAGES FOR FOOT PAD PRESSURES</t>
  </si>
  <si>
    <t>ERROR MESSAGES FOR LINE FORCES</t>
  </si>
  <si>
    <t>Zero Pressure</t>
  </si>
  <si>
    <t>ERROR FOR TRACK</t>
  </si>
  <si>
    <r>
      <t xml:space="preserve">Description </t>
    </r>
    <r>
      <rPr>
        <b/>
        <sz val="10"/>
        <color indexed="8"/>
        <rFont val="Arial"/>
        <family val="2"/>
      </rPr>
      <t>(Forces must be -ve)</t>
    </r>
  </si>
  <si>
    <t>Blank</t>
  </si>
  <si>
    <r>
      <t xml:space="preserve">SLEWING TOTAL/RESULTANT (with </t>
    </r>
    <r>
      <rPr>
        <b/>
        <sz val="13"/>
        <rFont val="Symbol"/>
        <family val="1"/>
        <charset val="2"/>
      </rPr>
      <t>q</t>
    </r>
    <r>
      <rPr>
        <b/>
        <sz val="13"/>
        <rFont val="Arial"/>
        <family val="2"/>
      </rPr>
      <t>=0)</t>
    </r>
  </si>
  <si>
    <r>
      <t xml:space="preserve">NON-SLEWING TOTAL/RESULTANT (with </t>
    </r>
    <r>
      <rPr>
        <b/>
        <sz val="13"/>
        <rFont val="Symbol"/>
        <family val="1"/>
        <charset val="2"/>
      </rPr>
      <t>q</t>
    </r>
    <r>
      <rPr>
        <b/>
        <sz val="13"/>
        <rFont val="Arial"/>
        <family val="2"/>
      </rPr>
      <t>=0)</t>
    </r>
  </si>
  <si>
    <t>TRACK DATA FOR GRAPHICAL PLOTTING</t>
  </si>
  <si>
    <t>Checks on Position of Resultant Force</t>
  </si>
  <si>
    <t>Handeling</t>
  </si>
  <si>
    <t>Rectangular</t>
  </si>
  <si>
    <t>1.2x1.25m</t>
  </si>
  <si>
    <t>Lower Works (Slewing)</t>
  </si>
  <si>
    <t>Net Penetration Force</t>
  </si>
  <si>
    <t>Input Data Warning Messages</t>
  </si>
  <si>
    <t>INPUT DATA</t>
  </si>
  <si>
    <t>OUTPUT DATA</t>
  </si>
  <si>
    <t>Example</t>
  </si>
  <si>
    <t>Net Extraction Force</t>
  </si>
  <si>
    <t>Must be inline with suspended equip't.</t>
  </si>
  <si>
    <t>-ve Must be inline with suspended equip't.</t>
  </si>
  <si>
    <t>Foot Pads - Non-Slewing</t>
  </si>
  <si>
    <t>SUSPENDED EQUIPMENT CONNECTED TO CROWD SYSTEM (Slewing)</t>
  </si>
  <si>
    <t>Crowd System - Maximum Extraction Force (kN)</t>
  </si>
  <si>
    <t>Crowd System - Maximum Penetration Force (kN)</t>
  </si>
  <si>
    <t>OTHER/OTHER SUSPENDED EQUIPMENT (Slewing)</t>
  </si>
  <si>
    <t>Eccentricity Index - X direction</t>
  </si>
  <si>
    <t>Eccentricity index - Y direction</t>
  </si>
  <si>
    <t>Eccentricity Index</t>
  </si>
  <si>
    <r>
      <t xml:space="preserve">Eccentricity index - Y direction </t>
    </r>
    <r>
      <rPr>
        <sz val="8"/>
        <rFont val="Arial"/>
        <family val="2"/>
      </rPr>
      <t>(forwards/backwards)</t>
    </r>
  </si>
  <si>
    <r>
      <t xml:space="preserve">Eccentricity index - X direction </t>
    </r>
    <r>
      <rPr>
        <sz val="8"/>
        <rFont val="Arial"/>
        <family val="2"/>
      </rPr>
      <t>(sideways)</t>
    </r>
  </si>
  <si>
    <t>Winch Forces</t>
  </si>
  <si>
    <t>Algebraic sum of forces (kN)</t>
  </si>
  <si>
    <t>SUSPENDED EQUIPMENT CONNECTED TO CROWD SYSTEM</t>
  </si>
  <si>
    <t>Suspended Eqpt. on Crowd</t>
  </si>
  <si>
    <t>Rotary Head</t>
  </si>
  <si>
    <t>EXAMPLE</t>
  </si>
  <si>
    <t>ZX1000</t>
  </si>
  <si>
    <t>Auger</t>
  </si>
  <si>
    <t>Tracks &amp; Undercarriage</t>
  </si>
  <si>
    <r>
      <rPr>
        <b/>
        <sz val="10"/>
        <color indexed="8"/>
        <rFont val="Arial"/>
        <family val="2"/>
      </rPr>
      <t>The Spreadsheet is intended for use only by a competent person.</t>
    </r>
    <r>
      <rPr>
        <sz val="10"/>
        <color indexed="8"/>
        <rFont val="Arial"/>
        <family val="2"/>
      </rPr>
      <t xml:space="preserve"> It is intended to assist in calculating the track loadings that occur with the rig working on a flat horizontal surface with a vertical mast it makes no allowance for the effects on track loadings caused by raking the mast in any direction, or non-vertical suspended loads. </t>
    </r>
  </si>
  <si>
    <t>Rig Type &amp; Serial No.</t>
  </si>
  <si>
    <t>DE2001.2</t>
  </si>
  <si>
    <t>TOTAL RIG MASS</t>
  </si>
  <si>
    <t>Can the rig slew?</t>
  </si>
  <si>
    <t>Can the Rig Slew?</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</si>
</sst>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00"/>
    <numFmt numFmtId="165" formatCode="#,##0_ ;\-#,##0\ "/>
    <numFmt numFmtId="166" formatCode="#,##0.00_ ;\-#,##0.00\ "/>
    <numFmt numFmtId="167" formatCode="0.0"/>
    <numFmt numFmtId="168" formatCode="#,##0.0_ ;\-#,##0.0\ "/>
    <numFmt numFmtId="169" formatCode="0;\-0;;@"/>
    <numFmt numFmtId="170" formatCode="0.00;\-0.00;;@"/>
    <numFmt numFmtId="171" formatCode="_-* #,##0_-;\-* #,##0_-;_-* &quot;-&quot;??_-;_-@_-"/>
    <numFmt numFmtId="172" formatCode="0.00_ ;\-0.00\ "/>
  </numFmts>
  <fonts count="98" x14ac:knownFonts="1">
    <font>
      <sz val="11"/>
      <name val="Arial"/>
    </font>
    <font>
      <sz val="11"/>
      <name val="Arial"/>
      <family val="2"/>
    </font>
    <font>
      <sz val="10"/>
      <name val="Arial"/>
      <family val="2"/>
    </font>
    <font>
      <sz val="12"/>
      <name val="Arial"/>
      <family val="2"/>
    </font>
    <font>
      <b/>
      <sz val="10"/>
      <name val="Arial"/>
      <family val="2"/>
    </font>
    <font>
      <b/>
      <sz val="12"/>
      <name val="Arial"/>
      <family val="2"/>
    </font>
    <font>
      <b/>
      <sz val="11"/>
      <name val="Arial"/>
      <family val="2"/>
    </font>
    <font>
      <b/>
      <sz val="14"/>
      <name val="Arial"/>
      <family val="2"/>
    </font>
    <font>
      <b/>
      <sz val="11"/>
      <color indexed="10"/>
      <name val="Arial"/>
      <family val="2"/>
    </font>
    <font>
      <b/>
      <sz val="12"/>
      <color indexed="8"/>
      <name val="Arial"/>
      <family val="2"/>
    </font>
    <font>
      <b/>
      <sz val="10"/>
      <color indexed="10"/>
      <name val="Arial"/>
      <family val="2"/>
    </font>
    <font>
      <b/>
      <sz val="11"/>
      <color indexed="8"/>
      <name val="Arial"/>
      <family val="2"/>
    </font>
    <font>
      <b/>
      <sz val="11"/>
      <color indexed="14"/>
      <name val="Arial"/>
      <family val="2"/>
    </font>
    <font>
      <sz val="11"/>
      <color indexed="8"/>
      <name val="Arial"/>
      <family val="2"/>
    </font>
    <font>
      <sz val="11"/>
      <color indexed="10"/>
      <name val="Arial"/>
      <family val="2"/>
    </font>
    <font>
      <b/>
      <sz val="12"/>
      <color indexed="10"/>
      <name val="Arial"/>
      <family val="2"/>
    </font>
    <font>
      <sz val="11"/>
      <name val="Arial"/>
      <family val="2"/>
    </font>
    <font>
      <sz val="10"/>
      <color indexed="8"/>
      <name val="Arial"/>
      <family val="2"/>
    </font>
    <font>
      <b/>
      <sz val="12"/>
      <color indexed="12"/>
      <name val="Arial"/>
      <family val="2"/>
    </font>
    <font>
      <b/>
      <sz val="11"/>
      <color indexed="49"/>
      <name val="Arial"/>
      <family val="2"/>
    </font>
    <font>
      <b/>
      <sz val="16"/>
      <name val="Arial"/>
      <family val="2"/>
    </font>
    <font>
      <sz val="16"/>
      <name val="Arial"/>
      <family val="2"/>
    </font>
    <font>
      <b/>
      <sz val="16"/>
      <color indexed="10"/>
      <name val="Arial"/>
      <family val="2"/>
    </font>
    <font>
      <b/>
      <sz val="12"/>
      <color indexed="57"/>
      <name val="Arial"/>
      <family val="2"/>
    </font>
    <font>
      <vertAlign val="superscript"/>
      <sz val="12"/>
      <name val="Arial"/>
      <family val="2"/>
    </font>
    <font>
      <sz val="9"/>
      <name val="Arial"/>
      <family val="2"/>
    </font>
    <font>
      <sz val="11"/>
      <color indexed="17"/>
      <name val="Arial"/>
      <family val="2"/>
    </font>
    <font>
      <b/>
      <sz val="9.5"/>
      <color indexed="8"/>
      <name val="Arial"/>
      <family val="2"/>
    </font>
    <font>
      <b/>
      <u/>
      <sz val="9.5"/>
      <color indexed="8"/>
      <name val="Arial"/>
      <family val="2"/>
    </font>
    <font>
      <sz val="12"/>
      <name val="Times New Roman"/>
      <family val="1"/>
    </font>
    <font>
      <b/>
      <sz val="12"/>
      <color rgb="FFFF0000"/>
      <name val="Arial"/>
      <family val="2"/>
    </font>
    <font>
      <sz val="9"/>
      <color indexed="81"/>
      <name val="Tahoma"/>
      <family val="2"/>
    </font>
    <font>
      <b/>
      <sz val="9"/>
      <color indexed="81"/>
      <name val="Tahoma"/>
      <family val="2"/>
    </font>
    <font>
      <sz val="10"/>
      <name val="Symbol"/>
      <family val="1"/>
      <charset val="2"/>
    </font>
    <font>
      <vertAlign val="superscript"/>
      <sz val="10"/>
      <name val="Arial"/>
      <family val="2"/>
    </font>
    <font>
      <sz val="11"/>
      <name val="Symbol"/>
      <family val="1"/>
      <charset val="2"/>
    </font>
    <font>
      <vertAlign val="subscript"/>
      <sz val="11"/>
      <name val="Arial"/>
      <family val="2"/>
    </font>
    <font>
      <sz val="22"/>
      <name val="Arial"/>
      <family val="2"/>
    </font>
    <font>
      <sz val="8"/>
      <name val="Arial"/>
      <family val="2"/>
    </font>
    <font>
      <sz val="12"/>
      <name val="Symbol"/>
      <family val="1"/>
      <charset val="2"/>
    </font>
    <font>
      <sz val="11"/>
      <color theme="1"/>
      <name val="Arial"/>
      <family val="2"/>
    </font>
    <font>
      <vertAlign val="subscript"/>
      <sz val="10"/>
      <name val="Arial"/>
      <family val="2"/>
    </font>
    <font>
      <sz val="14"/>
      <name val="Symbol"/>
      <family val="1"/>
      <charset val="2"/>
    </font>
    <font>
      <sz val="11"/>
      <color rgb="FFFF0000"/>
      <name val="Arial"/>
      <family val="2"/>
    </font>
    <font>
      <vertAlign val="superscript"/>
      <sz val="9"/>
      <name val="Arial"/>
      <family val="2"/>
    </font>
    <font>
      <b/>
      <u/>
      <sz val="11"/>
      <name val="Arial"/>
      <family val="2"/>
    </font>
    <font>
      <b/>
      <sz val="11"/>
      <color indexed="12"/>
      <name val="Arial"/>
      <family val="2"/>
    </font>
    <font>
      <b/>
      <sz val="16"/>
      <color indexed="12"/>
      <name val="Arial"/>
      <family val="2"/>
    </font>
    <font>
      <sz val="11"/>
      <color rgb="FF0000FF"/>
      <name val="Arial"/>
      <family val="2"/>
    </font>
    <font>
      <b/>
      <sz val="11"/>
      <color rgb="FF0000FF"/>
      <name val="Arial"/>
      <family val="2"/>
    </font>
    <font>
      <b/>
      <sz val="11"/>
      <color rgb="FF008000"/>
      <name val="Arial"/>
      <family val="2"/>
    </font>
    <font>
      <sz val="11"/>
      <color indexed="14"/>
      <name val="Arial"/>
      <family val="2"/>
    </font>
    <font>
      <sz val="11"/>
      <color indexed="49"/>
      <name val="Arial"/>
      <family val="2"/>
    </font>
    <font>
      <b/>
      <sz val="11"/>
      <color rgb="FFFF0000"/>
      <name val="Arial"/>
      <family val="2"/>
    </font>
    <font>
      <b/>
      <sz val="11"/>
      <color indexed="39"/>
      <name val="Arial"/>
      <family val="2"/>
    </font>
    <font>
      <b/>
      <sz val="14"/>
      <color indexed="10"/>
      <name val="Arial"/>
      <family val="2"/>
    </font>
    <font>
      <b/>
      <sz val="14"/>
      <color rgb="FFFF0000"/>
      <name val="Arial"/>
      <family val="2"/>
    </font>
    <font>
      <b/>
      <sz val="13"/>
      <name val="Arial"/>
      <family val="2"/>
    </font>
    <font>
      <sz val="13"/>
      <name val="Arial"/>
      <family val="2"/>
    </font>
    <font>
      <b/>
      <sz val="13"/>
      <color indexed="12"/>
      <name val="Arial"/>
      <family val="2"/>
    </font>
    <font>
      <sz val="13"/>
      <color indexed="12"/>
      <name val="Arial"/>
      <family val="2"/>
    </font>
    <font>
      <b/>
      <sz val="13"/>
      <color rgb="FFFF0000"/>
      <name val="Arial"/>
      <family val="2"/>
    </font>
    <font>
      <sz val="13"/>
      <color indexed="10"/>
      <name val="Arial"/>
      <family val="2"/>
    </font>
    <font>
      <sz val="13"/>
      <color rgb="FFFF0000"/>
      <name val="Arial"/>
      <family val="2"/>
    </font>
    <font>
      <b/>
      <sz val="13"/>
      <color rgb="FF008000"/>
      <name val="Arial"/>
      <family val="2"/>
    </font>
    <font>
      <sz val="13"/>
      <color indexed="17"/>
      <name val="Arial"/>
      <family val="2"/>
    </font>
    <font>
      <sz val="13"/>
      <color rgb="FF008000"/>
      <name val="Arial"/>
      <family val="2"/>
    </font>
    <font>
      <b/>
      <sz val="13"/>
      <color indexed="14"/>
      <name val="Arial"/>
      <family val="2"/>
    </font>
    <font>
      <sz val="13"/>
      <color indexed="14"/>
      <name val="Arial"/>
      <family val="2"/>
    </font>
    <font>
      <sz val="13"/>
      <color rgb="FFFF00FF"/>
      <name val="Arial"/>
      <family val="2"/>
    </font>
    <font>
      <b/>
      <sz val="13"/>
      <color indexed="8"/>
      <name val="Arial"/>
      <family val="2"/>
    </font>
    <font>
      <b/>
      <sz val="13"/>
      <color theme="1"/>
      <name val="Arial"/>
      <family val="2"/>
    </font>
    <font>
      <b/>
      <sz val="13"/>
      <color indexed="10"/>
      <name val="Arial"/>
      <family val="2"/>
    </font>
    <font>
      <b/>
      <sz val="13"/>
      <color indexed="17"/>
      <name val="Arial"/>
      <family val="2"/>
    </font>
    <font>
      <b/>
      <sz val="13"/>
      <color rgb="FFFF00FF"/>
      <name val="Arial"/>
      <family val="2"/>
    </font>
    <font>
      <b/>
      <sz val="13"/>
      <name val="Symbol"/>
      <family val="1"/>
      <charset val="2"/>
    </font>
    <font>
      <sz val="13"/>
      <color indexed="8"/>
      <name val="Arial"/>
      <family val="2"/>
    </font>
    <font>
      <vertAlign val="superscript"/>
      <sz val="13"/>
      <name val="Arial"/>
      <family val="2"/>
    </font>
    <font>
      <sz val="13"/>
      <color theme="1"/>
      <name val="Arial"/>
      <family val="2"/>
    </font>
    <font>
      <b/>
      <u/>
      <sz val="13"/>
      <color indexed="8"/>
      <name val="Arial"/>
      <family val="2"/>
    </font>
    <font>
      <b/>
      <vertAlign val="subscript"/>
      <sz val="12"/>
      <color indexed="57"/>
      <name val="Arial"/>
      <family val="2"/>
    </font>
    <font>
      <b/>
      <sz val="13"/>
      <color theme="1"/>
      <name val="Symbol"/>
      <family val="1"/>
      <charset val="2"/>
    </font>
    <font>
      <sz val="13"/>
      <color theme="1"/>
      <name val="Symbol"/>
      <family val="1"/>
      <charset val="2"/>
    </font>
    <font>
      <sz val="12"/>
      <color indexed="8"/>
      <name val="Arial"/>
      <family val="2"/>
    </font>
    <font>
      <sz val="12"/>
      <color theme="1"/>
      <name val="Arial"/>
      <family val="2"/>
    </font>
    <font>
      <b/>
      <sz val="12"/>
      <color indexed="8"/>
      <name val="Symbol"/>
      <family val="1"/>
      <charset val="2"/>
    </font>
    <font>
      <b/>
      <sz val="12"/>
      <color indexed="14"/>
      <name val="Arial"/>
      <family val="2"/>
    </font>
    <font>
      <b/>
      <sz val="12"/>
      <color theme="1"/>
      <name val="Arial"/>
      <family val="2"/>
    </font>
    <font>
      <vertAlign val="superscript"/>
      <sz val="13"/>
      <color theme="1"/>
      <name val="Arial"/>
      <family val="2"/>
    </font>
    <font>
      <b/>
      <sz val="10"/>
      <color rgb="FFFF0000"/>
      <name val="Arial"/>
      <family val="2"/>
    </font>
    <font>
      <b/>
      <sz val="10"/>
      <color indexed="8"/>
      <name val="Arial"/>
      <family val="2"/>
    </font>
    <font>
      <b/>
      <sz val="12"/>
      <color rgb="FF339966"/>
      <name val="Arial"/>
      <family val="2"/>
    </font>
    <font>
      <b/>
      <sz val="11"/>
      <color rgb="FF339966"/>
      <name val="Arial"/>
      <family val="2"/>
    </font>
    <font>
      <b/>
      <sz val="11"/>
      <color indexed="17"/>
      <name val="Arial"/>
      <family val="2"/>
    </font>
    <font>
      <sz val="9"/>
      <color rgb="FF008000"/>
      <name val="Arial"/>
      <family val="2"/>
    </font>
    <font>
      <b/>
      <sz val="8"/>
      <name val="Arial"/>
      <family val="2"/>
    </font>
    <font>
      <sz val="13"/>
      <color rgb="FF7030A0"/>
      <name val="Arial"/>
      <family val="2"/>
    </font>
    <font>
      <b/>
      <sz val="13"/>
      <color rgb="FF7030A0"/>
      <name val="Arial"/>
      <family val="2"/>
    </font>
  </fonts>
  <fills count="2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6600"/>
        <bgColor indexed="64"/>
      </patternFill>
    </fill>
    <fill>
      <patternFill patternType="solid">
        <fgColor rgb="FFC0C0C0"/>
        <bgColor indexed="64"/>
      </patternFill>
    </fill>
    <fill>
      <patternFill patternType="solid">
        <fgColor rgb="FFCCFFFF"/>
        <bgColor indexed="64"/>
      </patternFill>
    </fill>
    <fill>
      <patternFill patternType="solid">
        <fgColor rgb="FFFFCCFF"/>
        <bgColor indexed="64"/>
      </patternFill>
    </fill>
  </fills>
  <borders count="124">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top/>
      <bottom style="medium">
        <color indexed="64"/>
      </bottom>
      <diagonal/>
    </border>
    <border>
      <left style="thin">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style="medium">
        <color indexed="64"/>
      </bottom>
      <diagonal/>
    </border>
    <border>
      <left/>
      <right style="medium">
        <color indexed="64"/>
      </right>
      <top/>
      <bottom style="thin">
        <color indexed="64"/>
      </bottom>
      <diagonal/>
    </border>
    <border>
      <left/>
      <right style="double">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double">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81">
    <xf numFmtId="0" fontId="0" fillId="0" borderId="0" xfId="0"/>
    <xf numFmtId="0" fontId="2" fillId="0" borderId="0" xfId="0" applyFont="1" applyProtection="1"/>
    <xf numFmtId="0" fontId="2" fillId="0" borderId="0" xfId="0" applyFont="1" applyBorder="1" applyProtection="1"/>
    <xf numFmtId="0" fontId="0" fillId="4" borderId="12" xfId="0" applyFill="1" applyBorder="1" applyAlignment="1" applyProtection="1">
      <alignment horizontal="center"/>
    </xf>
    <xf numFmtId="0" fontId="0" fillId="4" borderId="13" xfId="0" applyFill="1" applyBorder="1" applyAlignment="1" applyProtection="1">
      <alignment horizontal="center"/>
    </xf>
    <xf numFmtId="0" fontId="0" fillId="4" borderId="16" xfId="0" applyFill="1" applyBorder="1" applyAlignment="1" applyProtection="1">
      <alignment horizontal="center"/>
    </xf>
    <xf numFmtId="0" fontId="2" fillId="4" borderId="13" xfId="0" applyFont="1" applyFill="1" applyBorder="1" applyProtection="1"/>
    <xf numFmtId="1" fontId="3" fillId="6" borderId="20" xfId="0" applyNumberFormat="1" applyFont="1" applyFill="1" applyBorder="1" applyAlignment="1" applyProtection="1">
      <alignment horizontal="center" vertical="center"/>
    </xf>
    <xf numFmtId="1" fontId="3" fillId="6" borderId="21" xfId="0" applyNumberFormat="1" applyFont="1" applyFill="1" applyBorder="1" applyAlignment="1" applyProtection="1">
      <alignment horizontal="center" vertical="center"/>
    </xf>
    <xf numFmtId="1" fontId="3" fillId="6" borderId="15" xfId="0" applyNumberFormat="1" applyFont="1" applyFill="1" applyBorder="1" applyAlignment="1" applyProtection="1">
      <alignment horizontal="center" vertical="center"/>
    </xf>
    <xf numFmtId="1" fontId="3" fillId="6" borderId="25" xfId="0" applyNumberFormat="1" applyFont="1" applyFill="1" applyBorder="1" applyAlignment="1" applyProtection="1">
      <alignment horizontal="center" vertical="center"/>
    </xf>
    <xf numFmtId="164" fontId="16" fillId="0" borderId="14" xfId="0" applyNumberFormat="1" applyFont="1" applyBorder="1" applyAlignment="1" applyProtection="1">
      <alignment horizontal="center"/>
    </xf>
    <xf numFmtId="164" fontId="16" fillId="0" borderId="25" xfId="0" applyNumberFormat="1" applyFont="1" applyBorder="1" applyAlignment="1" applyProtection="1">
      <alignment horizontal="center"/>
    </xf>
    <xf numFmtId="164" fontId="16" fillId="4" borderId="14" xfId="0" applyNumberFormat="1" applyFont="1" applyFill="1" applyBorder="1" applyAlignment="1" applyProtection="1">
      <alignment horizontal="center"/>
    </xf>
    <xf numFmtId="1" fontId="6" fillId="7" borderId="25" xfId="0" applyNumberFormat="1" applyFont="1" applyFill="1" applyBorder="1" applyAlignment="1" applyProtection="1">
      <alignment horizontal="center"/>
    </xf>
    <xf numFmtId="164" fontId="2" fillId="0" borderId="0" xfId="0" applyNumberFormat="1" applyFont="1" applyBorder="1" applyProtection="1"/>
    <xf numFmtId="1" fontId="6" fillId="7" borderId="32" xfId="0" applyNumberFormat="1" applyFont="1" applyFill="1" applyBorder="1" applyAlignment="1" applyProtection="1">
      <alignment horizontal="center"/>
    </xf>
    <xf numFmtId="164" fontId="2" fillId="0" borderId="34" xfId="0" applyNumberFormat="1" applyFont="1" applyFill="1" applyBorder="1" applyProtection="1"/>
    <xf numFmtId="164" fontId="2" fillId="0" borderId="35" xfId="0" applyNumberFormat="1" applyFont="1" applyFill="1" applyBorder="1" applyProtection="1"/>
    <xf numFmtId="164" fontId="2" fillId="0" borderId="37" xfId="0" applyNumberFormat="1" applyFont="1" applyFill="1" applyBorder="1" applyProtection="1"/>
    <xf numFmtId="164" fontId="2" fillId="0" borderId="38" xfId="0" applyNumberFormat="1" applyFont="1" applyFill="1" applyBorder="1" applyProtection="1"/>
    <xf numFmtId="0" fontId="2" fillId="0" borderId="0" xfId="0" applyFont="1" applyAlignment="1" applyProtection="1">
      <alignment horizontal="center" vertical="center"/>
    </xf>
    <xf numFmtId="164" fontId="2" fillId="0" borderId="0" xfId="0" applyNumberFormat="1" applyFont="1" applyProtection="1"/>
    <xf numFmtId="2" fontId="2" fillId="0" borderId="0" xfId="0" applyNumberFormat="1" applyFont="1" applyProtection="1"/>
    <xf numFmtId="0" fontId="3" fillId="0" borderId="0" xfId="0" applyFont="1" applyProtection="1"/>
    <xf numFmtId="0" fontId="0" fillId="0" borderId="0" xfId="0" applyProtection="1"/>
    <xf numFmtId="164" fontId="13" fillId="0" borderId="0" xfId="0" applyNumberFormat="1" applyFont="1" applyFill="1" applyBorder="1" applyAlignment="1" applyProtection="1">
      <alignment horizontal="right" vertical="center"/>
    </xf>
    <xf numFmtId="0" fontId="0" fillId="0" borderId="0" xfId="0" applyBorder="1" applyProtection="1"/>
    <xf numFmtId="0" fontId="10" fillId="0" borderId="41" xfId="0" applyNumberFormat="1" applyFont="1" applyFill="1" applyBorder="1" applyAlignment="1" applyProtection="1">
      <alignment horizontal="center" vertical="center" wrapText="1"/>
    </xf>
    <xf numFmtId="164" fontId="5" fillId="0" borderId="38" xfId="0" applyNumberFormat="1" applyFont="1" applyFill="1" applyBorder="1" applyAlignment="1" applyProtection="1">
      <alignment horizontal="right"/>
    </xf>
    <xf numFmtId="0" fontId="22" fillId="2" borderId="5" xfId="0" applyFont="1" applyFill="1" applyBorder="1" applyAlignment="1" applyProtection="1">
      <alignment horizontal="center" vertical="center" wrapText="1"/>
    </xf>
    <xf numFmtId="0" fontId="14" fillId="0" borderId="0" xfId="0" applyFont="1" applyProtection="1"/>
    <xf numFmtId="0" fontId="27" fillId="2" borderId="40" xfId="0" applyFont="1" applyFill="1" applyBorder="1" applyAlignment="1">
      <alignment horizontal="center"/>
    </xf>
    <xf numFmtId="0" fontId="27" fillId="2" borderId="41" xfId="0" applyFont="1" applyFill="1" applyBorder="1" applyAlignment="1">
      <alignment horizontal="center"/>
    </xf>
    <xf numFmtId="0" fontId="28" fillId="2" borderId="41" xfId="0" applyFont="1" applyFill="1" applyBorder="1" applyAlignment="1">
      <alignment horizontal="center"/>
    </xf>
    <xf numFmtId="0" fontId="29" fillId="2" borderId="41" xfId="0" applyFont="1" applyFill="1" applyBorder="1" applyAlignment="1">
      <alignment horizontal="center"/>
    </xf>
    <xf numFmtId="0" fontId="2" fillId="2" borderId="41" xfId="0" applyFont="1" applyFill="1" applyBorder="1" applyAlignment="1">
      <alignment vertical="top" wrapText="1"/>
    </xf>
    <xf numFmtId="0" fontId="17" fillId="2" borderId="41" xfId="0" applyFont="1" applyFill="1" applyBorder="1" applyAlignment="1">
      <alignment vertical="top" wrapText="1"/>
    </xf>
    <xf numFmtId="0" fontId="0" fillId="2" borderId="45" xfId="0" applyFill="1" applyBorder="1"/>
    <xf numFmtId="0" fontId="2" fillId="2" borderId="42" xfId="0" applyFont="1" applyFill="1" applyBorder="1"/>
    <xf numFmtId="0" fontId="0" fillId="0" borderId="0" xfId="0" applyAlignment="1" applyProtection="1">
      <alignment wrapText="1"/>
    </xf>
    <xf numFmtId="0" fontId="26" fillId="0" borderId="0" xfId="0" applyFont="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1" fontId="2" fillId="2" borderId="15" xfId="0" applyNumberFormat="1" applyFont="1" applyFill="1" applyBorder="1" applyAlignment="1" applyProtection="1">
      <alignment horizontal="center" vertical="center"/>
    </xf>
    <xf numFmtId="3" fontId="0" fillId="0" borderId="0" xfId="0" applyNumberFormat="1" applyProtection="1"/>
    <xf numFmtId="0" fontId="16" fillId="0" borderId="0" xfId="0" applyFont="1" applyProtection="1"/>
    <xf numFmtId="1" fontId="2" fillId="0" borderId="0" xfId="0" applyNumberFormat="1" applyFont="1" applyProtection="1"/>
    <xf numFmtId="0" fontId="16" fillId="0" borderId="0" xfId="0" applyFont="1" applyBorder="1" applyAlignment="1" applyProtection="1">
      <alignment horizontal="center" vertical="center" wrapText="1"/>
    </xf>
    <xf numFmtId="0" fontId="0" fillId="0" borderId="0" xfId="0" applyBorder="1" applyAlignment="1" applyProtection="1">
      <alignment vertical="center" wrapText="1"/>
    </xf>
    <xf numFmtId="0" fontId="16" fillId="0" borderId="0" xfId="0" applyFont="1" applyBorder="1" applyAlignment="1" applyProtection="1">
      <alignment vertical="center" wrapText="1"/>
    </xf>
    <xf numFmtId="166" fontId="2" fillId="0" borderId="15" xfId="0" applyNumberFormat="1" applyFont="1" applyBorder="1" applyProtection="1"/>
    <xf numFmtId="165" fontId="2" fillId="0" borderId="14" xfId="0" applyNumberFormat="1" applyFont="1" applyBorder="1" applyProtection="1"/>
    <xf numFmtId="0" fontId="0" fillId="0" borderId="0" xfId="0" applyBorder="1" applyAlignment="1" applyProtection="1">
      <alignment horizontal="center" vertical="center" wrapText="1"/>
    </xf>
    <xf numFmtId="3" fontId="2" fillId="0" borderId="15" xfId="0" applyNumberFormat="1" applyFont="1" applyBorder="1" applyProtection="1"/>
    <xf numFmtId="3" fontId="2" fillId="0" borderId="14" xfId="0" applyNumberFormat="1" applyFont="1" applyBorder="1" applyProtection="1"/>
    <xf numFmtId="3" fontId="2" fillId="0" borderId="25" xfId="0" applyNumberFormat="1" applyFont="1" applyBorder="1" applyProtection="1"/>
    <xf numFmtId="0" fontId="2" fillId="0" borderId="0" xfId="0" applyFont="1" applyFill="1" applyBorder="1" applyAlignment="1" applyProtection="1">
      <alignment horizontal="center" vertical="center" wrapText="1"/>
    </xf>
    <xf numFmtId="2" fontId="2" fillId="0" borderId="15" xfId="0" applyNumberFormat="1" applyFont="1" applyBorder="1" applyProtection="1"/>
    <xf numFmtId="2" fontId="2" fillId="0" borderId="14" xfId="0" applyNumberFormat="1" applyFont="1" applyBorder="1" applyProtection="1"/>
    <xf numFmtId="0" fontId="2" fillId="14" borderId="15" xfId="0" applyFont="1" applyFill="1" applyBorder="1" applyProtection="1"/>
    <xf numFmtId="3" fontId="4" fillId="0" borderId="14" xfId="0" applyNumberFormat="1" applyFont="1" applyBorder="1" applyProtection="1"/>
    <xf numFmtId="3" fontId="4" fillId="0" borderId="15" xfId="0" applyNumberFormat="1" applyFont="1" applyBorder="1" applyProtection="1"/>
    <xf numFmtId="3" fontId="4" fillId="0" borderId="25" xfId="0" applyNumberFormat="1" applyFont="1" applyBorder="1" applyProtection="1"/>
    <xf numFmtId="165" fontId="4" fillId="0" borderId="14" xfId="0" applyNumberFormat="1" applyFont="1" applyBorder="1" applyProtection="1"/>
    <xf numFmtId="166" fontId="4" fillId="0" borderId="15" xfId="0" applyNumberFormat="1" applyFont="1" applyBorder="1" applyProtection="1"/>
    <xf numFmtId="2" fontId="4" fillId="0" borderId="14" xfId="0" applyNumberFormat="1" applyFont="1" applyBorder="1" applyProtection="1"/>
    <xf numFmtId="2" fontId="4" fillId="0" borderId="15" xfId="0" applyNumberFormat="1" applyFont="1" applyBorder="1" applyProtection="1"/>
    <xf numFmtId="0" fontId="4" fillId="0" borderId="0" xfId="0" applyFont="1" applyBorder="1" applyProtection="1"/>
    <xf numFmtId="168" fontId="4" fillId="0" borderId="15" xfId="0" applyNumberFormat="1" applyFont="1" applyBorder="1" applyProtection="1"/>
    <xf numFmtId="168" fontId="2" fillId="0" borderId="15" xfId="0" applyNumberFormat="1" applyFont="1" applyBorder="1" applyProtection="1"/>
    <xf numFmtId="3" fontId="2" fillId="0" borderId="14" xfId="0" applyNumberFormat="1" applyFont="1" applyBorder="1" applyAlignment="1" applyProtection="1">
      <alignment horizontal="center"/>
    </xf>
    <xf numFmtId="3" fontId="4" fillId="0" borderId="14" xfId="0" applyNumberFormat="1" applyFont="1" applyBorder="1" applyAlignment="1" applyProtection="1">
      <alignment horizontal="center"/>
    </xf>
    <xf numFmtId="166" fontId="4" fillId="0" borderId="25" xfId="0" applyNumberFormat="1" applyFont="1" applyBorder="1" applyProtection="1"/>
    <xf numFmtId="166" fontId="2" fillId="0" borderId="25" xfId="0" applyNumberFormat="1" applyFont="1" applyBorder="1" applyProtection="1"/>
    <xf numFmtId="4" fontId="4" fillId="0" borderId="15" xfId="0" applyNumberFormat="1" applyFont="1" applyBorder="1" applyProtection="1"/>
    <xf numFmtId="4" fontId="2" fillId="0" borderId="15" xfId="0" applyNumberFormat="1" applyFont="1" applyBorder="1" applyProtection="1"/>
    <xf numFmtId="1" fontId="2" fillId="0" borderId="15" xfId="0" applyNumberFormat="1" applyFont="1" applyFill="1" applyBorder="1" applyAlignment="1" applyProtection="1">
      <alignment horizontal="center"/>
    </xf>
    <xf numFmtId="164" fontId="16" fillId="0" borderId="22" xfId="0" applyNumberFormat="1" applyFont="1" applyFill="1" applyBorder="1" applyAlignment="1" applyProtection="1">
      <alignment horizontal="center"/>
    </xf>
    <xf numFmtId="164" fontId="16" fillId="0" borderId="21" xfId="0" applyNumberFormat="1" applyFont="1" applyFill="1" applyBorder="1" applyAlignment="1" applyProtection="1">
      <alignment horizontal="center"/>
    </xf>
    <xf numFmtId="1" fontId="6" fillId="16" borderId="21" xfId="0" applyNumberFormat="1" applyFont="1" applyFill="1" applyBorder="1" applyAlignment="1" applyProtection="1">
      <alignment horizontal="center"/>
    </xf>
    <xf numFmtId="164" fontId="16" fillId="17" borderId="22" xfId="0" applyNumberFormat="1" applyFont="1" applyFill="1" applyBorder="1" applyAlignment="1" applyProtection="1">
      <alignment horizontal="center"/>
    </xf>
    <xf numFmtId="0" fontId="0" fillId="4" borderId="12" xfId="0" applyFill="1" applyBorder="1" applyProtection="1"/>
    <xf numFmtId="0" fontId="2" fillId="4" borderId="16" xfId="0" applyFont="1" applyFill="1" applyBorder="1" applyProtection="1"/>
    <xf numFmtId="0" fontId="2" fillId="4" borderId="12" xfId="0" applyFont="1" applyFill="1" applyBorder="1" applyProtection="1"/>
    <xf numFmtId="1" fontId="6" fillId="16" borderId="25" xfId="0" applyNumberFormat="1" applyFont="1" applyFill="1" applyBorder="1" applyAlignment="1" applyProtection="1">
      <alignment horizontal="center"/>
    </xf>
    <xf numFmtId="164" fontId="16" fillId="17" borderId="14" xfId="0" applyNumberFormat="1" applyFont="1" applyFill="1" applyBorder="1" applyAlignment="1" applyProtection="1">
      <alignment horizontal="center"/>
    </xf>
    <xf numFmtId="0" fontId="1" fillId="15" borderId="15" xfId="0" applyFont="1" applyFill="1" applyBorder="1" applyAlignment="1" applyProtection="1">
      <alignment horizontal="center"/>
    </xf>
    <xf numFmtId="0" fontId="0" fillId="15" borderId="15" xfId="0" applyFill="1" applyBorder="1" applyAlignment="1" applyProtection="1">
      <alignment horizontal="center"/>
    </xf>
    <xf numFmtId="0" fontId="2" fillId="15" borderId="15" xfId="0" applyFont="1" applyFill="1" applyBorder="1" applyAlignment="1" applyProtection="1">
      <alignment horizontal="center"/>
    </xf>
    <xf numFmtId="1" fontId="2" fillId="0" borderId="15" xfId="0" applyNumberFormat="1" applyFont="1" applyBorder="1" applyAlignment="1" applyProtection="1">
      <alignment horizontal="center"/>
    </xf>
    <xf numFmtId="2" fontId="2" fillId="0" borderId="15" xfId="0" applyNumberFormat="1" applyFont="1" applyBorder="1" applyAlignment="1" applyProtection="1">
      <alignment horizontal="center" vertical="center"/>
    </xf>
    <xf numFmtId="164" fontId="2" fillId="0" borderId="15" xfId="0" applyNumberFormat="1" applyFont="1" applyBorder="1" applyAlignment="1" applyProtection="1">
      <alignment horizontal="center" vertical="center"/>
    </xf>
    <xf numFmtId="164" fontId="2" fillId="2" borderId="15" xfId="0" applyNumberFormat="1" applyFont="1" applyFill="1" applyBorder="1" applyAlignment="1" applyProtection="1">
      <alignment horizontal="center" vertical="center"/>
    </xf>
    <xf numFmtId="0" fontId="0" fillId="0" borderId="0" xfId="0" applyFill="1" applyBorder="1" applyProtection="1"/>
    <xf numFmtId="0" fontId="2" fillId="0" borderId="0" xfId="0" applyFont="1" applyAlignment="1" applyProtection="1">
      <alignment horizontal="center" vertical="center" wrapText="1"/>
    </xf>
    <xf numFmtId="0" fontId="0" fillId="0" borderId="0" xfId="0" applyBorder="1" applyAlignment="1" applyProtection="1"/>
    <xf numFmtId="1" fontId="3" fillId="0" borderId="0" xfId="0" applyNumberFormat="1" applyFont="1" applyFill="1" applyBorder="1" applyAlignment="1" applyProtection="1">
      <alignment horizontal="center" vertical="center"/>
    </xf>
    <xf numFmtId="164" fontId="2" fillId="0" borderId="2" xfId="0" applyNumberFormat="1" applyFont="1" applyFill="1" applyBorder="1" applyProtection="1"/>
    <xf numFmtId="164" fontId="2" fillId="0" borderId="0" xfId="0" applyNumberFormat="1" applyFont="1" applyFill="1" applyBorder="1" applyProtection="1"/>
    <xf numFmtId="164" fontId="2" fillId="18" borderId="15"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1" fontId="5" fillId="0" borderId="9" xfId="0" applyNumberFormat="1" applyFont="1" applyFill="1" applyBorder="1" applyAlignment="1" applyProtection="1">
      <alignment horizontal="center"/>
    </xf>
    <xf numFmtId="164" fontId="15" fillId="0" borderId="0" xfId="0" applyNumberFormat="1" applyFont="1" applyFill="1" applyBorder="1" applyAlignment="1" applyProtection="1"/>
    <xf numFmtId="164" fontId="15" fillId="0" borderId="9" xfId="0" applyNumberFormat="1" applyFont="1" applyFill="1" applyBorder="1" applyAlignment="1" applyProtection="1"/>
    <xf numFmtId="1" fontId="3" fillId="0" borderId="35" xfId="0" applyNumberFormat="1" applyFont="1" applyFill="1" applyBorder="1" applyAlignment="1" applyProtection="1">
      <alignment horizontal="center" vertical="center"/>
    </xf>
    <xf numFmtId="164" fontId="2" fillId="18" borderId="14" xfId="0" applyNumberFormat="1" applyFont="1" applyFill="1" applyBorder="1" applyAlignment="1" applyProtection="1">
      <alignment horizontal="left" vertical="center"/>
    </xf>
    <xf numFmtId="0" fontId="2" fillId="0" borderId="2" xfId="0" applyFont="1" applyBorder="1" applyProtection="1"/>
    <xf numFmtId="0" fontId="2" fillId="0" borderId="0" xfId="0" applyFont="1" applyAlignment="1" applyProtection="1">
      <alignment horizontal="center" vertical="center" wrapText="1"/>
    </xf>
    <xf numFmtId="1" fontId="18" fillId="0" borderId="34" xfId="0" applyNumberFormat="1" applyFont="1" applyFill="1" applyBorder="1" applyAlignment="1" applyProtection="1">
      <alignment horizontal="center" vertical="center"/>
    </xf>
    <xf numFmtId="1" fontId="18" fillId="0" borderId="2"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wrapText="1"/>
    </xf>
    <xf numFmtId="0" fontId="2" fillId="0" borderId="0" xfId="0" applyFont="1" applyFill="1" applyBorder="1" applyAlignment="1" applyProtection="1">
      <alignment horizontal="center"/>
    </xf>
    <xf numFmtId="0" fontId="2" fillId="0" borderId="0" xfId="0" applyFont="1" applyFill="1" applyBorder="1" applyProtection="1"/>
    <xf numFmtId="0" fontId="2" fillId="0" borderId="0" xfId="0" applyFont="1" applyFill="1" applyProtection="1"/>
    <xf numFmtId="167" fontId="2" fillId="0" borderId="15" xfId="0" applyNumberFormat="1" applyFont="1" applyBorder="1" applyAlignment="1" applyProtection="1">
      <alignment horizontal="center"/>
    </xf>
    <xf numFmtId="2" fontId="4" fillId="0" borderId="15" xfId="0" applyNumberFormat="1" applyFont="1" applyFill="1" applyBorder="1" applyProtection="1"/>
    <xf numFmtId="3" fontId="4" fillId="0" borderId="15" xfId="0" applyNumberFormat="1" applyFont="1" applyFill="1" applyBorder="1" applyProtection="1"/>
    <xf numFmtId="2" fontId="15" fillId="0" borderId="0" xfId="0" applyNumberFormat="1" applyFont="1" applyFill="1" applyBorder="1" applyAlignment="1" applyProtection="1">
      <alignment horizontal="center"/>
    </xf>
    <xf numFmtId="0" fontId="2" fillId="0" borderId="0" xfId="0" applyFont="1" applyBorder="1" applyAlignment="1" applyProtection="1">
      <alignment horizontal="center" vertical="top" wrapText="1"/>
    </xf>
    <xf numFmtId="167" fontId="4" fillId="0" borderId="0" xfId="0" applyNumberFormat="1" applyFont="1" applyBorder="1" applyAlignment="1" applyProtection="1">
      <alignment horizontal="center"/>
    </xf>
    <xf numFmtId="167" fontId="2" fillId="0" borderId="0" xfId="0" applyNumberFormat="1" applyFont="1" applyBorder="1" applyAlignment="1" applyProtection="1">
      <alignment horizontal="center"/>
    </xf>
    <xf numFmtId="2" fontId="2" fillId="0" borderId="33" xfId="0" applyNumberFormat="1" applyFont="1" applyBorder="1" applyAlignment="1" applyProtection="1">
      <alignment horizontal="center" vertical="center"/>
    </xf>
    <xf numFmtId="2" fontId="2" fillId="0" borderId="32" xfId="0" applyNumberFormat="1" applyFont="1" applyBorder="1" applyAlignment="1" applyProtection="1">
      <alignment horizontal="center" vertical="center"/>
    </xf>
    <xf numFmtId="0" fontId="2" fillId="0" borderId="10" xfId="0" applyFont="1" applyBorder="1" applyAlignment="1" applyProtection="1">
      <alignment horizontal="center"/>
    </xf>
    <xf numFmtId="0" fontId="2" fillId="0" borderId="50" xfId="0" applyFont="1" applyBorder="1" applyAlignment="1" applyProtection="1">
      <alignment horizontal="center"/>
    </xf>
    <xf numFmtId="2" fontId="5" fillId="0" borderId="0" xfId="0" applyNumberFormat="1" applyFont="1" applyFill="1" applyBorder="1" applyAlignment="1" applyProtection="1">
      <alignment horizontal="center"/>
    </xf>
    <xf numFmtId="0" fontId="2" fillId="14" borderId="53" xfId="0" applyFont="1" applyFill="1" applyBorder="1" applyProtection="1"/>
    <xf numFmtId="2" fontId="4" fillId="0" borderId="53" xfId="0" applyNumberFormat="1" applyFont="1" applyBorder="1" applyProtection="1"/>
    <xf numFmtId="2" fontId="2" fillId="0" borderId="53" xfId="0" applyNumberFormat="1" applyFont="1" applyBorder="1" applyProtection="1"/>
    <xf numFmtId="0" fontId="0" fillId="0" borderId="0" xfId="0" applyBorder="1" applyAlignment="1" applyProtection="1"/>
    <xf numFmtId="164" fontId="2" fillId="18" borderId="53" xfId="0" applyNumberFormat="1" applyFont="1" applyFill="1" applyBorder="1" applyAlignment="1" applyProtection="1">
      <alignment horizontal="center" vertical="center"/>
    </xf>
    <xf numFmtId="164" fontId="16" fillId="4" borderId="23" xfId="0" applyNumberFormat="1" applyFont="1" applyFill="1" applyBorder="1" applyAlignment="1" applyProtection="1">
      <alignment horizontal="center"/>
    </xf>
    <xf numFmtId="1" fontId="6" fillId="7" borderId="29" xfId="0" applyNumberFormat="1" applyFont="1" applyFill="1" applyBorder="1" applyAlignment="1" applyProtection="1">
      <alignment horizontal="center"/>
    </xf>
    <xf numFmtId="1" fontId="3" fillId="6" borderId="24" xfId="0" applyNumberFormat="1" applyFont="1" applyFill="1" applyBorder="1" applyAlignment="1" applyProtection="1">
      <alignment horizontal="center" vertical="center"/>
    </xf>
    <xf numFmtId="1" fontId="3" fillId="6" borderId="29" xfId="0" applyNumberFormat="1" applyFont="1" applyFill="1" applyBorder="1" applyAlignment="1" applyProtection="1">
      <alignment horizontal="center" vertical="center"/>
    </xf>
    <xf numFmtId="164" fontId="16" fillId="0" borderId="23" xfId="0" applyNumberFormat="1" applyFont="1" applyBorder="1" applyAlignment="1" applyProtection="1">
      <alignment horizontal="center"/>
    </xf>
    <xf numFmtId="164" fontId="16" fillId="0" borderId="29" xfId="0" applyNumberFormat="1" applyFont="1" applyBorder="1" applyAlignment="1" applyProtection="1">
      <alignment horizontal="center"/>
    </xf>
    <xf numFmtId="164" fontId="2" fillId="18" borderId="33" xfId="0" applyNumberFormat="1" applyFont="1" applyFill="1" applyBorder="1" applyAlignment="1" applyProtection="1">
      <alignment horizontal="left" vertical="center"/>
    </xf>
    <xf numFmtId="164" fontId="2" fillId="18" borderId="31" xfId="0" applyNumberFormat="1" applyFont="1" applyFill="1" applyBorder="1" applyAlignment="1" applyProtection="1">
      <alignment horizontal="center" vertical="center"/>
    </xf>
    <xf numFmtId="164" fontId="2" fillId="18" borderId="52" xfId="0" applyNumberFormat="1" applyFont="1" applyFill="1" applyBorder="1" applyAlignment="1" applyProtection="1">
      <alignment horizontal="center" vertical="center"/>
    </xf>
    <xf numFmtId="164" fontId="0" fillId="4" borderId="31" xfId="0" applyNumberFormat="1" applyFill="1" applyBorder="1" applyAlignment="1" applyProtection="1">
      <alignment horizontal="center"/>
    </xf>
    <xf numFmtId="164" fontId="2" fillId="0" borderId="6" xfId="0" applyNumberFormat="1" applyFont="1" applyBorder="1" applyAlignment="1" applyProtection="1">
      <alignment horizontal="center"/>
    </xf>
    <xf numFmtId="1" fontId="2" fillId="0" borderId="27" xfId="0" applyNumberFormat="1" applyFont="1" applyBorder="1" applyAlignment="1" applyProtection="1">
      <alignment horizontal="center"/>
    </xf>
    <xf numFmtId="164" fontId="25" fillId="0" borderId="51" xfId="0" applyNumberFormat="1" applyFont="1" applyBorder="1" applyAlignment="1" applyProtection="1">
      <alignment horizontal="center" wrapText="1"/>
    </xf>
    <xf numFmtId="164" fontId="2" fillId="18" borderId="11" xfId="0" applyNumberFormat="1" applyFont="1" applyFill="1" applyBorder="1" applyAlignment="1" applyProtection="1">
      <alignment horizontal="center" vertical="center"/>
    </xf>
    <xf numFmtId="164" fontId="0" fillId="4" borderId="11" xfId="0" applyNumberFormat="1" applyFill="1" applyBorder="1" applyAlignment="1" applyProtection="1">
      <alignment horizontal="center"/>
    </xf>
    <xf numFmtId="1" fontId="6" fillId="7" borderId="50" xfId="0" applyNumberFormat="1" applyFont="1" applyFill="1" applyBorder="1" applyAlignment="1" applyProtection="1">
      <alignment horizontal="center"/>
    </xf>
    <xf numFmtId="164" fontId="25" fillId="0" borderId="84" xfId="0" applyNumberFormat="1" applyFont="1" applyBorder="1" applyAlignment="1" applyProtection="1"/>
    <xf numFmtId="164" fontId="16" fillId="0" borderId="51" xfId="0" applyNumberFormat="1" applyFont="1" applyFill="1" applyBorder="1" applyAlignment="1" applyProtection="1">
      <alignment horizontal="center"/>
    </xf>
    <xf numFmtId="164" fontId="2" fillId="17" borderId="6" xfId="0" applyNumberFormat="1" applyFont="1" applyFill="1" applyBorder="1" applyAlignment="1" applyProtection="1">
      <alignment horizontal="center" vertical="center"/>
    </xf>
    <xf numFmtId="1" fontId="2" fillId="16" borderId="27" xfId="0" applyNumberFormat="1" applyFont="1" applyFill="1" applyBorder="1" applyAlignment="1" applyProtection="1">
      <alignment horizontal="center" vertical="center"/>
    </xf>
    <xf numFmtId="1" fontId="6" fillId="0" borderId="87" xfId="0" applyNumberFormat="1" applyFont="1" applyFill="1" applyBorder="1" applyAlignment="1" applyProtection="1">
      <alignment horizontal="center"/>
    </xf>
    <xf numFmtId="0" fontId="45" fillId="0" borderId="0" xfId="0" applyFont="1" applyAlignment="1" applyProtection="1">
      <alignment horizontal="left" vertical="center"/>
    </xf>
    <xf numFmtId="0" fontId="1" fillId="0" borderId="0" xfId="0" applyFont="1" applyProtection="1"/>
    <xf numFmtId="164" fontId="1" fillId="0" borderId="0" xfId="0" applyNumberFormat="1" applyFont="1" applyProtection="1"/>
    <xf numFmtId="0" fontId="1" fillId="0" borderId="0" xfId="0" applyFont="1" applyAlignment="1" applyProtection="1">
      <alignment horizontal="left" vertical="center"/>
    </xf>
    <xf numFmtId="164" fontId="46" fillId="0" borderId="0" xfId="0" applyNumberFormat="1" applyFont="1" applyProtection="1"/>
    <xf numFmtId="0" fontId="1" fillId="0" borderId="0" xfId="0" applyFont="1" applyAlignment="1" applyProtection="1">
      <alignment horizontal="center" vertical="center"/>
    </xf>
    <xf numFmtId="1" fontId="18" fillId="8" borderId="3" xfId="0" applyNumberFormat="1" applyFont="1" applyFill="1" applyBorder="1" applyAlignment="1" applyProtection="1">
      <alignment horizontal="center"/>
      <protection locked="0"/>
    </xf>
    <xf numFmtId="0" fontId="5" fillId="0" borderId="15" xfId="0" applyFont="1" applyFill="1" applyBorder="1" applyAlignment="1" applyProtection="1">
      <alignment horizontal="right"/>
    </xf>
    <xf numFmtId="0" fontId="5" fillId="0" borderId="0" xfId="0" applyFont="1" applyFill="1" applyBorder="1" applyAlignment="1" applyProtection="1">
      <alignment horizontal="right"/>
    </xf>
    <xf numFmtId="0" fontId="0" fillId="0" borderId="0" xfId="0" applyFill="1" applyBorder="1" applyAlignment="1" applyProtection="1">
      <alignment horizontal="center"/>
      <protection locked="0"/>
    </xf>
    <xf numFmtId="0" fontId="9" fillId="0" borderId="0" xfId="0" applyFont="1" applyFill="1" applyBorder="1" applyAlignment="1" applyProtection="1">
      <alignment horizontal="right"/>
    </xf>
    <xf numFmtId="0" fontId="9" fillId="0" borderId="0" xfId="0" applyFont="1" applyFill="1" applyBorder="1" applyAlignment="1" applyProtection="1">
      <alignment horizontal="center"/>
      <protection locked="0"/>
    </xf>
    <xf numFmtId="0" fontId="9" fillId="0" borderId="78" xfId="0" applyFont="1" applyBorder="1" applyAlignment="1" applyProtection="1">
      <alignment horizontal="right"/>
    </xf>
    <xf numFmtId="164" fontId="1" fillId="0" borderId="0" xfId="0" applyNumberFormat="1" applyFont="1" applyFill="1" applyBorder="1" applyAlignment="1" applyProtection="1">
      <alignment vertical="center"/>
    </xf>
    <xf numFmtId="0" fontId="1" fillId="0" borderId="0" xfId="0" applyFont="1" applyBorder="1" applyAlignment="1" applyProtection="1"/>
    <xf numFmtId="0" fontId="1" fillId="0" borderId="0" xfId="0" applyFont="1" applyFill="1" applyBorder="1" applyAlignment="1" applyProtection="1"/>
    <xf numFmtId="0" fontId="48" fillId="10" borderId="22" xfId="0" applyFont="1" applyFill="1" applyBorder="1" applyAlignment="1" applyProtection="1">
      <alignment horizontal="center" vertical="center"/>
    </xf>
    <xf numFmtId="3" fontId="49" fillId="10" borderId="20" xfId="0" applyNumberFormat="1" applyFont="1" applyFill="1" applyBorder="1" applyAlignment="1" applyProtection="1">
      <alignment horizontal="center" vertical="center"/>
    </xf>
    <xf numFmtId="2" fontId="49" fillId="10" borderId="20" xfId="0" applyNumberFormat="1" applyFont="1" applyFill="1" applyBorder="1" applyAlignment="1" applyProtection="1">
      <alignment horizontal="center" vertical="center"/>
    </xf>
    <xf numFmtId="3" fontId="49" fillId="10" borderId="21" xfId="0" applyNumberFormat="1" applyFont="1" applyFill="1" applyBorder="1" applyAlignment="1" applyProtection="1">
      <alignment horizontal="center" vertical="center"/>
    </xf>
    <xf numFmtId="3" fontId="50" fillId="10" borderId="15" xfId="0" applyNumberFormat="1" applyFont="1" applyFill="1" applyBorder="1" applyAlignment="1" applyProtection="1">
      <alignment horizontal="center" vertical="center"/>
    </xf>
    <xf numFmtId="2" fontId="50" fillId="10" borderId="15" xfId="0" applyNumberFormat="1" applyFont="1" applyFill="1" applyBorder="1" applyAlignment="1" applyProtection="1">
      <alignment horizontal="center" vertical="center"/>
    </xf>
    <xf numFmtId="3" fontId="50" fillId="10" borderId="25"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0" fontId="51" fillId="10" borderId="14" xfId="0" applyFont="1" applyFill="1" applyBorder="1" applyAlignment="1" applyProtection="1">
      <alignment horizontal="center" vertical="center"/>
    </xf>
    <xf numFmtId="3" fontId="12" fillId="10" borderId="15" xfId="0" applyNumberFormat="1" applyFont="1" applyFill="1" applyBorder="1" applyAlignment="1" applyProtection="1">
      <alignment horizontal="center" vertical="center"/>
    </xf>
    <xf numFmtId="2" fontId="12" fillId="10" borderId="15" xfId="0" applyNumberFormat="1" applyFont="1" applyFill="1" applyBorder="1" applyAlignment="1" applyProtection="1">
      <alignment horizontal="center" vertical="center"/>
    </xf>
    <xf numFmtId="3" fontId="12" fillId="10" borderId="53"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vertical="center" wrapText="1"/>
    </xf>
    <xf numFmtId="164" fontId="1" fillId="0" borderId="0" xfId="0" applyNumberFormat="1" applyFont="1" applyFill="1" applyBorder="1" applyAlignment="1" applyProtection="1">
      <alignment horizontal="center" vertical="center" wrapText="1"/>
    </xf>
    <xf numFmtId="0" fontId="52" fillId="10" borderId="14" xfId="0" applyFont="1" applyFill="1" applyBorder="1" applyAlignment="1" applyProtection="1">
      <alignment horizontal="center" vertical="center"/>
    </xf>
    <xf numFmtId="3" fontId="19" fillId="10" borderId="15" xfId="0" applyNumberFormat="1" applyFont="1" applyFill="1" applyBorder="1" applyAlignment="1" applyProtection="1">
      <alignment horizontal="center" vertical="center"/>
    </xf>
    <xf numFmtId="2" fontId="19" fillId="10" borderId="15" xfId="0" applyNumberFormat="1" applyFont="1" applyFill="1" applyBorder="1" applyAlignment="1" applyProtection="1">
      <alignment horizontal="center" vertical="center"/>
    </xf>
    <xf numFmtId="3" fontId="19" fillId="10" borderId="53" xfId="0" applyNumberFormat="1" applyFont="1" applyFill="1" applyBorder="1" applyAlignment="1" applyProtection="1">
      <alignment horizontal="center" vertical="center"/>
    </xf>
    <xf numFmtId="0" fontId="43" fillId="10" borderId="33" xfId="0" applyFont="1" applyFill="1" applyBorder="1" applyAlignment="1" applyProtection="1">
      <alignment horizontal="center" vertical="center"/>
    </xf>
    <xf numFmtId="1" fontId="53" fillId="0" borderId="31" xfId="0" applyNumberFormat="1" applyFont="1" applyFill="1" applyBorder="1" applyAlignment="1" applyProtection="1">
      <alignment horizontal="center" vertical="center"/>
    </xf>
    <xf numFmtId="2" fontId="53" fillId="0" borderId="31" xfId="0" applyNumberFormat="1" applyFont="1" applyFill="1" applyBorder="1" applyAlignment="1" applyProtection="1">
      <alignment horizontal="center" vertical="center"/>
    </xf>
    <xf numFmtId="1" fontId="53" fillId="0" borderId="52" xfId="0" applyNumberFormat="1" applyFont="1" applyFill="1" applyBorder="1" applyAlignment="1" applyProtection="1">
      <alignment horizontal="center" vertical="center"/>
    </xf>
    <xf numFmtId="0" fontId="1" fillId="2" borderId="33"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1" fontId="13" fillId="0" borderId="7" xfId="0" applyNumberFormat="1" applyFont="1" applyFill="1" applyBorder="1" applyAlignment="1" applyProtection="1">
      <alignment horizontal="center" vertical="center"/>
    </xf>
    <xf numFmtId="2" fontId="13" fillId="0" borderId="7" xfId="0" applyNumberFormat="1" applyFont="1" applyFill="1" applyBorder="1" applyAlignment="1" applyProtection="1">
      <alignment horizontal="center" vertical="center"/>
    </xf>
    <xf numFmtId="3" fontId="13" fillId="0" borderId="7" xfId="0" applyNumberFormat="1" applyFont="1" applyFill="1" applyBorder="1" applyAlignment="1" applyProtection="1">
      <alignment horizontal="center" vertical="center"/>
    </xf>
    <xf numFmtId="3" fontId="13" fillId="0" borderId="8" xfId="0" applyNumberFormat="1" applyFont="1" applyFill="1" applyBorder="1" applyAlignment="1" applyProtection="1">
      <alignment horizontal="center" vertical="center"/>
    </xf>
    <xf numFmtId="1" fontId="54" fillId="8" borderId="12" xfId="0" applyNumberFormat="1" applyFont="1" applyFill="1" applyBorder="1" applyAlignment="1" applyProtection="1">
      <alignment horizontal="center" vertical="center"/>
      <protection locked="0"/>
    </xf>
    <xf numFmtId="1" fontId="53" fillId="5" borderId="13"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xf>
    <xf numFmtId="1" fontId="13" fillId="0" borderId="15" xfId="0" applyNumberFormat="1" applyFont="1" applyFill="1" applyBorder="1" applyAlignment="1" applyProtection="1">
      <alignment horizontal="center" vertical="center"/>
    </xf>
    <xf numFmtId="2" fontId="13"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center" vertical="center"/>
    </xf>
    <xf numFmtId="3" fontId="13" fillId="0" borderId="25" xfId="0" applyNumberFormat="1" applyFont="1" applyFill="1" applyBorder="1" applyAlignment="1" applyProtection="1">
      <alignment horizontal="center" vertical="center"/>
    </xf>
    <xf numFmtId="1" fontId="54" fillId="8" borderId="14" xfId="0" applyNumberFormat="1" applyFont="1" applyFill="1" applyBorder="1" applyAlignment="1" applyProtection="1">
      <alignment horizontal="center" vertical="center"/>
      <protection locked="0"/>
    </xf>
    <xf numFmtId="1" fontId="53" fillId="5" borderId="25" xfId="0" applyNumberFormat="1"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1" fontId="13" fillId="0" borderId="31" xfId="0" applyNumberFormat="1" applyFont="1" applyFill="1" applyBorder="1" applyAlignment="1" applyProtection="1">
      <alignment horizontal="center" vertical="center"/>
    </xf>
    <xf numFmtId="2" fontId="13" fillId="0" borderId="31" xfId="0" applyNumberFormat="1" applyFont="1" applyFill="1" applyBorder="1" applyAlignment="1" applyProtection="1">
      <alignment horizontal="center" vertical="center"/>
    </xf>
    <xf numFmtId="3" fontId="13" fillId="0" borderId="31" xfId="0" applyNumberFormat="1" applyFont="1" applyFill="1" applyBorder="1" applyAlignment="1" applyProtection="1">
      <alignment horizontal="center" vertical="center"/>
    </xf>
    <xf numFmtId="3" fontId="13" fillId="0" borderId="32" xfId="0" applyNumberFormat="1" applyFont="1" applyFill="1" applyBorder="1" applyAlignment="1" applyProtection="1">
      <alignment horizontal="center" vertical="center"/>
    </xf>
    <xf numFmtId="1" fontId="54" fillId="8" borderId="33" xfId="0" applyNumberFormat="1" applyFont="1" applyFill="1" applyBorder="1" applyAlignment="1" applyProtection="1">
      <alignment horizontal="center" vertical="center"/>
      <protection locked="0"/>
    </xf>
    <xf numFmtId="1" fontId="53" fillId="5" borderId="32" xfId="0" applyNumberFormat="1" applyFont="1" applyFill="1" applyBorder="1" applyAlignment="1" applyProtection="1">
      <alignment horizontal="center" vertical="center" wrapText="1"/>
    </xf>
    <xf numFmtId="164" fontId="40" fillId="0" borderId="10" xfId="0" applyNumberFormat="1" applyFont="1" applyFill="1" applyBorder="1" applyAlignment="1" applyProtection="1">
      <alignment horizontal="center" vertical="center"/>
    </xf>
    <xf numFmtId="1" fontId="40" fillId="0" borderId="11" xfId="0" applyNumberFormat="1" applyFont="1" applyFill="1" applyBorder="1" applyAlignment="1" applyProtection="1">
      <alignment horizontal="center" vertical="center"/>
    </xf>
    <xf numFmtId="2" fontId="40" fillId="0" borderId="11" xfId="0" applyNumberFormat="1" applyFont="1" applyFill="1" applyBorder="1" applyAlignment="1" applyProtection="1">
      <alignment horizontal="center" vertical="center"/>
    </xf>
    <xf numFmtId="3" fontId="40" fillId="0" borderId="11" xfId="0" applyNumberFormat="1" applyFont="1" applyFill="1" applyBorder="1" applyAlignment="1" applyProtection="1">
      <alignment horizontal="center" vertical="center"/>
    </xf>
    <xf numFmtId="3" fontId="40" fillId="0" borderId="50" xfId="0" applyNumberFormat="1" applyFont="1" applyFill="1" applyBorder="1" applyAlignment="1" applyProtection="1">
      <alignment horizontal="center" vertical="center"/>
    </xf>
    <xf numFmtId="1" fontId="54" fillId="8" borderId="10" xfId="0" applyNumberFormat="1" applyFont="1" applyFill="1" applyBorder="1" applyAlignment="1" applyProtection="1">
      <alignment horizontal="center" vertical="center"/>
      <protection locked="0"/>
    </xf>
    <xf numFmtId="1" fontId="53" fillId="5" borderId="50" xfId="0" applyNumberFormat="1" applyFont="1" applyFill="1" applyBorder="1" applyAlignment="1" applyProtection="1">
      <alignment horizontal="center" vertical="center" wrapText="1"/>
    </xf>
    <xf numFmtId="1" fontId="53" fillId="0" borderId="14" xfId="0" applyNumberFormat="1" applyFont="1" applyBorder="1" applyAlignment="1" applyProtection="1">
      <alignment horizontal="center" vertical="center"/>
    </xf>
    <xf numFmtId="2" fontId="53" fillId="0" borderId="25" xfId="0" applyNumberFormat="1" applyFont="1" applyBorder="1" applyAlignment="1" applyProtection="1">
      <alignment horizontal="center" vertical="center"/>
    </xf>
    <xf numFmtId="0" fontId="40" fillId="0" borderId="14" xfId="0" applyFont="1" applyBorder="1" applyAlignment="1" applyProtection="1">
      <alignment horizontal="center" vertical="center"/>
    </xf>
    <xf numFmtId="1" fontId="40" fillId="0" borderId="15" xfId="0" applyNumberFormat="1" applyFont="1" applyFill="1" applyBorder="1" applyAlignment="1" applyProtection="1">
      <alignment horizontal="center" vertical="center"/>
    </xf>
    <xf numFmtId="2" fontId="40" fillId="0" borderId="15" xfId="0" applyNumberFormat="1" applyFont="1" applyFill="1" applyBorder="1" applyAlignment="1" applyProtection="1">
      <alignment horizontal="center" vertical="center"/>
    </xf>
    <xf numFmtId="3" fontId="40" fillId="0" borderId="15" xfId="0" applyNumberFormat="1" applyFont="1" applyFill="1" applyBorder="1" applyAlignment="1" applyProtection="1">
      <alignment horizontal="center" vertical="center"/>
    </xf>
    <xf numFmtId="3" fontId="40" fillId="0" borderId="25" xfId="0" applyNumberFormat="1" applyFont="1" applyFill="1" applyBorder="1" applyAlignment="1" applyProtection="1">
      <alignment horizontal="center" vertical="center"/>
    </xf>
    <xf numFmtId="164" fontId="40" fillId="0" borderId="14" xfId="0" applyNumberFormat="1" applyFont="1" applyFill="1" applyBorder="1" applyAlignment="1" applyProtection="1">
      <alignment horizontal="center" vertical="center"/>
    </xf>
    <xf numFmtId="0" fontId="40" fillId="0" borderId="33" xfId="0" applyFont="1" applyBorder="1" applyAlignment="1" applyProtection="1">
      <alignment horizontal="center" vertical="center"/>
    </xf>
    <xf numFmtId="1" fontId="40" fillId="0" borderId="31" xfId="0" applyNumberFormat="1" applyFont="1" applyFill="1" applyBorder="1" applyAlignment="1" applyProtection="1">
      <alignment horizontal="center" vertical="center"/>
    </xf>
    <xf numFmtId="2" fontId="40" fillId="0" borderId="31" xfId="0" applyNumberFormat="1" applyFont="1" applyFill="1" applyBorder="1" applyAlignment="1" applyProtection="1">
      <alignment horizontal="center" vertical="center"/>
    </xf>
    <xf numFmtId="3" fontId="40" fillId="0" borderId="31" xfId="0" applyNumberFormat="1" applyFont="1" applyFill="1" applyBorder="1" applyAlignment="1" applyProtection="1">
      <alignment horizontal="center" vertical="center"/>
    </xf>
    <xf numFmtId="3" fontId="40" fillId="0" borderId="32" xfId="0" applyNumberFormat="1" applyFont="1" applyFill="1" applyBorder="1" applyAlignment="1" applyProtection="1">
      <alignment horizontal="center" vertical="center"/>
    </xf>
    <xf numFmtId="1" fontId="53" fillId="0" borderId="33" xfId="0" applyNumberFormat="1" applyFont="1" applyBorder="1" applyAlignment="1" applyProtection="1">
      <alignment horizontal="center" vertical="center"/>
    </xf>
    <xf numFmtId="2" fontId="53" fillId="0" borderId="32" xfId="0" applyNumberFormat="1" applyFont="1" applyBorder="1" applyAlignment="1" applyProtection="1">
      <alignment horizontal="center" vertical="center"/>
    </xf>
    <xf numFmtId="0" fontId="6" fillId="11" borderId="17" xfId="0" applyFont="1" applyFill="1" applyBorder="1" applyAlignment="1" applyProtection="1">
      <alignment horizontal="center" vertical="center"/>
    </xf>
    <xf numFmtId="165" fontId="13" fillId="11" borderId="18" xfId="1" applyNumberFormat="1" applyFont="1" applyFill="1" applyBorder="1" applyAlignment="1" applyProtection="1">
      <alignment horizontal="center" vertical="center"/>
    </xf>
    <xf numFmtId="2" fontId="13" fillId="11" borderId="46" xfId="0" applyNumberFormat="1" applyFont="1" applyFill="1" applyBorder="1" applyAlignment="1" applyProtection="1">
      <alignment horizontal="center" vertical="center"/>
    </xf>
    <xf numFmtId="165" fontId="13" fillId="11" borderId="19" xfId="1" applyNumberFormat="1" applyFont="1" applyFill="1" applyBorder="1" applyAlignment="1" applyProtection="1">
      <alignment horizontal="center" vertical="center"/>
    </xf>
    <xf numFmtId="1" fontId="53" fillId="11" borderId="28" xfId="0" applyNumberFormat="1" applyFont="1" applyFill="1" applyBorder="1" applyAlignment="1" applyProtection="1">
      <alignment horizontal="center" vertical="center"/>
    </xf>
    <xf numFmtId="0" fontId="1" fillId="0" borderId="0" xfId="0" applyFont="1" applyBorder="1" applyAlignment="1" applyProtection="1">
      <alignment wrapText="1"/>
    </xf>
    <xf numFmtId="0" fontId="1" fillId="0" borderId="5" xfId="0" applyFont="1" applyBorder="1" applyAlignment="1" applyProtection="1">
      <alignment horizontal="center" vertical="center"/>
    </xf>
    <xf numFmtId="1" fontId="13" fillId="0" borderId="8" xfId="0" applyNumberFormat="1"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1" fontId="13" fillId="0" borderId="20" xfId="0" applyNumberFormat="1" applyFont="1" applyFill="1" applyBorder="1" applyAlignment="1" applyProtection="1">
      <alignment horizontal="center" vertical="center"/>
    </xf>
    <xf numFmtId="2" fontId="13" fillId="0" borderId="20" xfId="0" applyNumberFormat="1" applyFont="1" applyFill="1" applyBorder="1" applyAlignment="1" applyProtection="1">
      <alignment horizontal="center" vertical="center"/>
    </xf>
    <xf numFmtId="1" fontId="13" fillId="0" borderId="21" xfId="0" applyNumberFormat="1" applyFont="1" applyFill="1" applyBorder="1" applyAlignment="1" applyProtection="1">
      <alignment horizontal="center" vertical="center"/>
    </xf>
    <xf numFmtId="1" fontId="54" fillId="8" borderId="43" xfId="0" applyNumberFormat="1" applyFont="1" applyFill="1" applyBorder="1" applyAlignment="1" applyProtection="1">
      <alignment horizontal="center" vertical="center"/>
      <protection locked="0"/>
    </xf>
    <xf numFmtId="1" fontId="53" fillId="5" borderId="84" xfId="0" applyNumberFormat="1" applyFont="1" applyFill="1" applyBorder="1" applyAlignment="1" applyProtection="1">
      <alignment horizontal="center" vertical="center" wrapText="1"/>
    </xf>
    <xf numFmtId="1" fontId="13" fillId="0" borderId="25" xfId="0" applyNumberFormat="1" applyFont="1" applyFill="1" applyBorder="1" applyAlignment="1" applyProtection="1">
      <alignment horizontal="center" vertical="center"/>
    </xf>
    <xf numFmtId="1" fontId="54" fillId="8" borderId="44" xfId="0" applyNumberFormat="1" applyFont="1" applyFill="1" applyBorder="1" applyAlignment="1" applyProtection="1">
      <alignment horizontal="center" vertical="center"/>
      <protection locked="0"/>
    </xf>
    <xf numFmtId="1" fontId="53" fillId="5" borderId="53" xfId="0" applyNumberFormat="1" applyFont="1" applyFill="1" applyBorder="1" applyAlignment="1" applyProtection="1">
      <alignment horizontal="center" vertical="center" wrapText="1"/>
    </xf>
    <xf numFmtId="164" fontId="8" fillId="0" borderId="0" xfId="0" applyNumberFormat="1" applyFont="1" applyBorder="1" applyAlignment="1" applyProtection="1">
      <alignment horizontal="center" vertical="center"/>
    </xf>
    <xf numFmtId="1" fontId="13" fillId="0" borderId="32" xfId="0" applyNumberFormat="1" applyFont="1" applyFill="1" applyBorder="1" applyAlignment="1" applyProtection="1">
      <alignment horizontal="center" vertical="center"/>
    </xf>
    <xf numFmtId="1" fontId="54" fillId="8" borderId="49" xfId="0" applyNumberFormat="1" applyFont="1" applyFill="1" applyBorder="1" applyAlignment="1" applyProtection="1">
      <alignment horizontal="center" vertical="center"/>
      <protection locked="0"/>
    </xf>
    <xf numFmtId="1" fontId="53" fillId="5" borderId="52" xfId="0" applyNumberFormat="1" applyFont="1" applyFill="1" applyBorder="1" applyAlignment="1" applyProtection="1">
      <alignment horizontal="center" vertical="center" wrapText="1"/>
    </xf>
    <xf numFmtId="1" fontId="54" fillId="0" borderId="0" xfId="0" applyNumberFormat="1" applyFont="1" applyFill="1" applyBorder="1" applyAlignment="1" applyProtection="1">
      <alignment horizontal="center" vertical="center"/>
    </xf>
    <xf numFmtId="1" fontId="8" fillId="0" borderId="0" xfId="0" applyNumberFormat="1" applyFont="1" applyFill="1" applyBorder="1" applyAlignment="1" applyProtection="1">
      <alignment horizontal="center" vertical="center"/>
    </xf>
    <xf numFmtId="2" fontId="53" fillId="0" borderId="0" xfId="0" applyNumberFormat="1" applyFont="1" applyFill="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1" fontId="1" fillId="2" borderId="27" xfId="0" applyNumberFormat="1" applyFont="1" applyFill="1" applyBorder="1" applyAlignment="1" applyProtection="1">
      <alignment horizontal="center" vertical="center"/>
    </xf>
    <xf numFmtId="0" fontId="1" fillId="0" borderId="35" xfId="0" applyFont="1" applyBorder="1" applyProtection="1"/>
    <xf numFmtId="164" fontId="1" fillId="0" borderId="35" xfId="0" applyNumberFormat="1" applyFont="1" applyBorder="1" applyProtection="1"/>
    <xf numFmtId="3" fontId="11" fillId="0" borderId="2" xfId="0" applyNumberFormat="1" applyFont="1" applyFill="1" applyBorder="1" applyAlignment="1" applyProtection="1">
      <alignment horizontal="center" vertical="center" wrapText="1"/>
    </xf>
    <xf numFmtId="3" fontId="11" fillId="0" borderId="0" xfId="0" applyNumberFormat="1" applyFont="1" applyFill="1" applyBorder="1" applyAlignment="1" applyProtection="1">
      <alignment horizontal="center" vertical="center" wrapText="1"/>
    </xf>
    <xf numFmtId="4" fontId="11" fillId="0" borderId="0" xfId="0" applyNumberFormat="1" applyFont="1" applyFill="1" applyBorder="1" applyAlignment="1" applyProtection="1">
      <alignment horizontal="center" vertical="center"/>
    </xf>
    <xf numFmtId="4" fontId="11" fillId="0" borderId="0" xfId="0" applyNumberFormat="1" applyFont="1" applyFill="1" applyBorder="1" applyAlignment="1" applyProtection="1">
      <alignment horizontal="center" vertical="center" wrapText="1"/>
    </xf>
    <xf numFmtId="3" fontId="1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wrapText="1"/>
    </xf>
    <xf numFmtId="2" fontId="49" fillId="0" borderId="0" xfId="0" applyNumberFormat="1" applyFont="1" applyFill="1" applyBorder="1" applyAlignment="1" applyProtection="1">
      <alignment horizontal="center" vertical="center"/>
    </xf>
    <xf numFmtId="0" fontId="1" fillId="0" borderId="0" xfId="0" applyFont="1" applyFill="1" applyProtection="1"/>
    <xf numFmtId="0" fontId="6" fillId="0" borderId="2" xfId="0"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8" fillId="0" borderId="0" xfId="0" applyNumberFormat="1" applyFont="1" applyProtection="1"/>
    <xf numFmtId="0" fontId="57" fillId="0" borderId="54" xfId="0" applyFont="1" applyBorder="1" applyProtection="1"/>
    <xf numFmtId="0" fontId="58" fillId="0" borderId="55" xfId="0" applyFont="1" applyBorder="1" applyProtection="1"/>
    <xf numFmtId="0" fontId="58" fillId="0" borderId="56" xfId="0" applyFont="1" applyBorder="1" applyProtection="1"/>
    <xf numFmtId="0" fontId="57" fillId="0" borderId="6" xfId="0" applyFont="1" applyBorder="1" applyAlignment="1" applyProtection="1">
      <alignment horizontal="center" vertical="center" wrapText="1"/>
    </xf>
    <xf numFmtId="0" fontId="57" fillId="0" borderId="58" xfId="0" applyFont="1" applyBorder="1" applyAlignment="1" applyProtection="1">
      <alignment horizontal="center" vertical="center" wrapText="1"/>
    </xf>
    <xf numFmtId="0" fontId="60" fillId="8" borderId="20" xfId="0" applyFont="1" applyFill="1" applyBorder="1" applyAlignment="1" applyProtection="1">
      <alignment horizontal="center" vertical="center"/>
      <protection locked="0"/>
    </xf>
    <xf numFmtId="3" fontId="60" fillId="8" borderId="20" xfId="0" applyNumberFormat="1" applyFont="1" applyFill="1" applyBorder="1" applyAlignment="1" applyProtection="1">
      <alignment horizontal="center" vertical="center"/>
      <protection locked="0"/>
    </xf>
    <xf numFmtId="3" fontId="60" fillId="0" borderId="20" xfId="0" applyNumberFormat="1" applyFont="1" applyFill="1" applyBorder="1" applyAlignment="1" applyProtection="1">
      <alignment horizontal="center" vertical="center"/>
    </xf>
    <xf numFmtId="2" fontId="60" fillId="8" borderId="20" xfId="0" applyNumberFormat="1" applyFont="1" applyFill="1" applyBorder="1" applyAlignment="1" applyProtection="1">
      <alignment horizontal="center" vertical="center"/>
      <protection locked="0"/>
    </xf>
    <xf numFmtId="3" fontId="60" fillId="0" borderId="20" xfId="0" applyNumberFormat="1" applyFont="1" applyBorder="1" applyAlignment="1" applyProtection="1">
      <alignment horizontal="center" vertical="center"/>
    </xf>
    <xf numFmtId="3" fontId="60" fillId="0" borderId="60" xfId="0" applyNumberFormat="1" applyFont="1" applyBorder="1" applyAlignment="1" applyProtection="1">
      <alignment horizontal="center" vertical="center"/>
    </xf>
    <xf numFmtId="0" fontId="60" fillId="8" borderId="15" xfId="0" applyFont="1" applyFill="1" applyBorder="1" applyAlignment="1" applyProtection="1">
      <alignment horizontal="center" vertical="center"/>
      <protection locked="0"/>
    </xf>
    <xf numFmtId="3" fontId="60" fillId="8" borderId="15" xfId="0" applyNumberFormat="1" applyFont="1" applyFill="1" applyBorder="1" applyAlignment="1" applyProtection="1">
      <alignment horizontal="center" vertical="center"/>
      <protection locked="0"/>
    </xf>
    <xf numFmtId="3" fontId="60" fillId="0" borderId="15" xfId="0" applyNumberFormat="1" applyFont="1" applyFill="1" applyBorder="1" applyAlignment="1" applyProtection="1">
      <alignment horizontal="center" vertical="center"/>
    </xf>
    <xf numFmtId="2" fontId="60" fillId="8" borderId="15" xfId="0" applyNumberFormat="1" applyFont="1" applyFill="1" applyBorder="1" applyAlignment="1" applyProtection="1">
      <alignment horizontal="center" vertical="center"/>
      <protection locked="0"/>
    </xf>
    <xf numFmtId="3" fontId="60" fillId="0" borderId="15" xfId="0" applyNumberFormat="1" applyFont="1" applyBorder="1" applyAlignment="1" applyProtection="1">
      <alignment horizontal="center" vertical="center"/>
    </xf>
    <xf numFmtId="3" fontId="60" fillId="0" borderId="62" xfId="0" applyNumberFormat="1" applyFont="1" applyBorder="1" applyAlignment="1" applyProtection="1">
      <alignment horizontal="center" vertical="center"/>
    </xf>
    <xf numFmtId="0" fontId="60" fillId="8" borderId="31" xfId="0" applyFont="1" applyFill="1" applyBorder="1" applyAlignment="1" applyProtection="1">
      <alignment horizontal="center" vertical="center"/>
      <protection locked="0"/>
    </xf>
    <xf numFmtId="3" fontId="60" fillId="8" borderId="31" xfId="0" applyNumberFormat="1" applyFont="1" applyFill="1" applyBorder="1" applyAlignment="1" applyProtection="1">
      <alignment horizontal="center" vertical="center"/>
      <protection locked="0"/>
    </xf>
    <xf numFmtId="3" fontId="60" fillId="0" borderId="31" xfId="0" applyNumberFormat="1" applyFont="1" applyFill="1" applyBorder="1" applyAlignment="1" applyProtection="1">
      <alignment horizontal="center" vertical="center"/>
    </xf>
    <xf numFmtId="2" fontId="60" fillId="8" borderId="31" xfId="0" applyNumberFormat="1" applyFont="1" applyFill="1" applyBorder="1" applyAlignment="1" applyProtection="1">
      <alignment horizontal="center" vertical="center"/>
      <protection locked="0"/>
    </xf>
    <xf numFmtId="3" fontId="60" fillId="0" borderId="31" xfId="0" applyNumberFormat="1" applyFont="1" applyBorder="1" applyAlignment="1" applyProtection="1">
      <alignment horizontal="center" vertical="center"/>
    </xf>
    <xf numFmtId="3" fontId="60" fillId="0" borderId="64" xfId="0" applyNumberFormat="1" applyFont="1" applyBorder="1" applyAlignment="1" applyProtection="1">
      <alignment horizontal="center" vertical="center"/>
    </xf>
    <xf numFmtId="0" fontId="62" fillId="8" borderId="20" xfId="0" applyFont="1" applyFill="1" applyBorder="1" applyAlignment="1" applyProtection="1">
      <alignment horizontal="center" vertical="center"/>
      <protection locked="0"/>
    </xf>
    <xf numFmtId="3" fontId="62" fillId="8" borderId="20" xfId="0" applyNumberFormat="1" applyFont="1" applyFill="1" applyBorder="1" applyAlignment="1" applyProtection="1">
      <alignment horizontal="center" vertical="center"/>
      <protection locked="0"/>
    </xf>
    <xf numFmtId="2" fontId="62" fillId="8" borderId="20" xfId="0" applyNumberFormat="1" applyFont="1" applyFill="1" applyBorder="1" applyAlignment="1" applyProtection="1">
      <alignment horizontal="center" vertical="center"/>
      <protection locked="0"/>
    </xf>
    <xf numFmtId="3" fontId="63" fillId="0" borderId="20" xfId="0" applyNumberFormat="1" applyFont="1" applyBorder="1" applyAlignment="1" applyProtection="1">
      <alignment horizontal="center" vertical="center"/>
    </xf>
    <xf numFmtId="3" fontId="63" fillId="0" borderId="60" xfId="0" applyNumberFormat="1" applyFont="1" applyBorder="1" applyAlignment="1" applyProtection="1">
      <alignment horizontal="center" vertical="center"/>
    </xf>
    <xf numFmtId="0" fontId="62" fillId="8" borderId="15" xfId="0" applyFont="1" applyFill="1" applyBorder="1" applyAlignment="1" applyProtection="1">
      <alignment horizontal="center" vertical="center"/>
      <protection locked="0"/>
    </xf>
    <xf numFmtId="3" fontId="62" fillId="8" borderId="15" xfId="0" applyNumberFormat="1" applyFont="1" applyFill="1" applyBorder="1" applyAlignment="1" applyProtection="1">
      <alignment horizontal="center" vertical="center"/>
      <protection locked="0"/>
    </xf>
    <xf numFmtId="2" fontId="62" fillId="8" borderId="15" xfId="0" applyNumberFormat="1" applyFont="1" applyFill="1" applyBorder="1" applyAlignment="1" applyProtection="1">
      <alignment horizontal="center" vertical="center"/>
      <protection locked="0"/>
    </xf>
    <xf numFmtId="3" fontId="63" fillId="0" borderId="15" xfId="0" applyNumberFormat="1" applyFont="1" applyBorder="1" applyAlignment="1" applyProtection="1">
      <alignment horizontal="center" vertical="center"/>
    </xf>
    <xf numFmtId="3" fontId="63" fillId="0" borderId="62" xfId="0" applyNumberFormat="1" applyFont="1" applyBorder="1" applyAlignment="1" applyProtection="1">
      <alignment horizontal="center" vertical="center"/>
    </xf>
    <xf numFmtId="0" fontId="62" fillId="8" borderId="31" xfId="0" applyFont="1" applyFill="1" applyBorder="1" applyAlignment="1" applyProtection="1">
      <alignment horizontal="center" vertical="center"/>
      <protection locked="0"/>
    </xf>
    <xf numFmtId="3" fontId="62" fillId="8" borderId="31" xfId="0" applyNumberFormat="1" applyFont="1" applyFill="1" applyBorder="1" applyAlignment="1" applyProtection="1">
      <alignment horizontal="center" vertical="center"/>
      <protection locked="0"/>
    </xf>
    <xf numFmtId="2" fontId="62" fillId="8" borderId="31" xfId="0" applyNumberFormat="1" applyFont="1" applyFill="1" applyBorder="1" applyAlignment="1" applyProtection="1">
      <alignment horizontal="center" vertical="center"/>
      <protection locked="0"/>
    </xf>
    <xf numFmtId="3" fontId="63" fillId="0" borderId="31" xfId="0" applyNumberFormat="1" applyFont="1" applyBorder="1" applyAlignment="1" applyProtection="1">
      <alignment horizontal="center" vertical="center"/>
    </xf>
    <xf numFmtId="3" fontId="63" fillId="0" borderId="64" xfId="0" applyNumberFormat="1" applyFont="1" applyBorder="1" applyAlignment="1" applyProtection="1">
      <alignment horizontal="center" vertical="center"/>
    </xf>
    <xf numFmtId="0" fontId="65" fillId="8" borderId="20" xfId="0" applyFont="1" applyFill="1" applyBorder="1" applyAlignment="1" applyProtection="1">
      <alignment horizontal="center" vertical="center"/>
      <protection locked="0"/>
    </xf>
    <xf numFmtId="3" fontId="65" fillId="8" borderId="20" xfId="0" applyNumberFormat="1" applyFont="1" applyFill="1" applyBorder="1" applyAlignment="1" applyProtection="1">
      <alignment horizontal="center" vertical="center"/>
      <protection locked="0"/>
    </xf>
    <xf numFmtId="2" fontId="65" fillId="8" borderId="20" xfId="0" applyNumberFormat="1" applyFont="1" applyFill="1" applyBorder="1" applyAlignment="1" applyProtection="1">
      <alignment horizontal="center" vertical="center"/>
      <protection locked="0"/>
    </xf>
    <xf numFmtId="3" fontId="66" fillId="0" borderId="20" xfId="0" applyNumberFormat="1" applyFont="1" applyBorder="1" applyAlignment="1" applyProtection="1">
      <alignment horizontal="center" vertical="center"/>
    </xf>
    <xf numFmtId="3" fontId="66" fillId="0" borderId="60" xfId="0" applyNumberFormat="1" applyFont="1" applyBorder="1" applyAlignment="1" applyProtection="1">
      <alignment horizontal="center" vertical="center"/>
    </xf>
    <xf numFmtId="0" fontId="65" fillId="8" borderId="15" xfId="0" applyFont="1" applyFill="1" applyBorder="1" applyAlignment="1" applyProtection="1">
      <alignment horizontal="center" vertical="center"/>
      <protection locked="0"/>
    </xf>
    <xf numFmtId="3" fontId="65" fillId="8" borderId="15" xfId="0" applyNumberFormat="1" applyFont="1" applyFill="1" applyBorder="1" applyAlignment="1" applyProtection="1">
      <alignment horizontal="center" vertical="center"/>
      <protection locked="0"/>
    </xf>
    <xf numFmtId="3" fontId="66" fillId="0" borderId="15" xfId="0" applyNumberFormat="1" applyFont="1" applyBorder="1" applyAlignment="1" applyProtection="1">
      <alignment horizontal="center" vertical="center"/>
    </xf>
    <xf numFmtId="3" fontId="66" fillId="0" borderId="62" xfId="0" applyNumberFormat="1" applyFont="1" applyBorder="1" applyAlignment="1" applyProtection="1">
      <alignment horizontal="center" vertical="center"/>
    </xf>
    <xf numFmtId="0" fontId="65" fillId="8" borderId="31" xfId="0" applyFont="1" applyFill="1" applyBorder="1" applyAlignment="1" applyProtection="1">
      <alignment horizontal="center" vertical="center"/>
      <protection locked="0"/>
    </xf>
    <xf numFmtId="3" fontId="65" fillId="8" borderId="31" xfId="0" applyNumberFormat="1" applyFont="1" applyFill="1" applyBorder="1" applyAlignment="1" applyProtection="1">
      <alignment horizontal="center" vertical="center"/>
      <protection locked="0"/>
    </xf>
    <xf numFmtId="3" fontId="66" fillId="0" borderId="31" xfId="0" applyNumberFormat="1" applyFont="1" applyBorder="1" applyAlignment="1" applyProtection="1">
      <alignment horizontal="center" vertical="center"/>
    </xf>
    <xf numFmtId="3" fontId="66" fillId="0" borderId="64" xfId="0" applyNumberFormat="1" applyFont="1" applyBorder="1" applyAlignment="1" applyProtection="1">
      <alignment horizontal="center" vertical="center"/>
    </xf>
    <xf numFmtId="0" fontId="68" fillId="8" borderId="20" xfId="0" applyFont="1" applyFill="1" applyBorder="1" applyAlignment="1" applyProtection="1">
      <alignment horizontal="center" vertical="center"/>
      <protection locked="0"/>
    </xf>
    <xf numFmtId="3" fontId="68" fillId="8" borderId="20" xfId="0" applyNumberFormat="1" applyFont="1" applyFill="1" applyBorder="1" applyAlignment="1" applyProtection="1">
      <alignment horizontal="center" vertical="center"/>
      <protection locked="0"/>
    </xf>
    <xf numFmtId="2" fontId="68" fillId="8" borderId="20" xfId="0" applyNumberFormat="1" applyFont="1" applyFill="1" applyBorder="1" applyAlignment="1" applyProtection="1">
      <alignment horizontal="center" vertical="center"/>
      <protection locked="0"/>
    </xf>
    <xf numFmtId="3" fontId="69" fillId="0" borderId="20" xfId="0" applyNumberFormat="1" applyFont="1" applyBorder="1" applyAlignment="1" applyProtection="1">
      <alignment horizontal="center" vertical="center"/>
    </xf>
    <xf numFmtId="3" fontId="69" fillId="0" borderId="60" xfId="0" applyNumberFormat="1" applyFont="1" applyBorder="1" applyAlignment="1" applyProtection="1">
      <alignment horizontal="center" vertical="center"/>
    </xf>
    <xf numFmtId="0" fontId="68" fillId="8" borderId="15" xfId="0" applyFont="1" applyFill="1" applyBorder="1" applyAlignment="1" applyProtection="1">
      <alignment horizontal="center" vertical="center"/>
      <protection locked="0"/>
    </xf>
    <xf numFmtId="3" fontId="68" fillId="8" borderId="15" xfId="0" applyNumberFormat="1" applyFont="1" applyFill="1" applyBorder="1" applyAlignment="1" applyProtection="1">
      <alignment horizontal="center" vertical="center"/>
      <protection locked="0"/>
    </xf>
    <xf numFmtId="2" fontId="68" fillId="8" borderId="15" xfId="0" applyNumberFormat="1" applyFont="1" applyFill="1" applyBorder="1" applyAlignment="1" applyProtection="1">
      <alignment horizontal="center" vertical="center"/>
      <protection locked="0"/>
    </xf>
    <xf numFmtId="3" fontId="69" fillId="0" borderId="15" xfId="0" applyNumberFormat="1" applyFont="1" applyBorder="1" applyAlignment="1" applyProtection="1">
      <alignment horizontal="center" vertical="center"/>
    </xf>
    <xf numFmtId="3" fontId="69" fillId="0" borderId="62" xfId="0" applyNumberFormat="1" applyFont="1" applyBorder="1" applyAlignment="1" applyProtection="1">
      <alignment horizontal="center" vertical="center"/>
    </xf>
    <xf numFmtId="0" fontId="68" fillId="8" borderId="24" xfId="0" applyFont="1" applyFill="1" applyBorder="1" applyAlignment="1" applyProtection="1">
      <alignment horizontal="center"/>
      <protection locked="0"/>
    </xf>
    <xf numFmtId="3" fontId="68" fillId="8" borderId="24" xfId="0" applyNumberFormat="1" applyFont="1" applyFill="1" applyBorder="1" applyAlignment="1" applyProtection="1">
      <alignment horizontal="center"/>
      <protection locked="0"/>
    </xf>
    <xf numFmtId="3" fontId="60" fillId="0" borderId="24" xfId="0" applyNumberFormat="1" applyFont="1" applyFill="1" applyBorder="1" applyAlignment="1" applyProtection="1">
      <alignment horizontal="center" vertical="center"/>
    </xf>
    <xf numFmtId="2" fontId="68" fillId="8" borderId="24" xfId="0" applyNumberFormat="1" applyFont="1" applyFill="1" applyBorder="1" applyAlignment="1" applyProtection="1">
      <alignment horizontal="center"/>
      <protection locked="0"/>
    </xf>
    <xf numFmtId="3" fontId="69" fillId="0" borderId="24" xfId="0" applyNumberFormat="1" applyFont="1" applyBorder="1" applyAlignment="1" applyProtection="1">
      <alignment horizontal="center" vertical="center"/>
    </xf>
    <xf numFmtId="3" fontId="69" fillId="0" borderId="65" xfId="0" applyNumberFormat="1" applyFont="1" applyBorder="1" applyAlignment="1" applyProtection="1">
      <alignment horizontal="center" vertical="center"/>
    </xf>
    <xf numFmtId="3" fontId="59" fillId="0" borderId="20" xfId="0" applyNumberFormat="1" applyFont="1" applyBorder="1" applyAlignment="1" applyProtection="1">
      <alignment horizontal="center" vertical="center"/>
    </xf>
    <xf numFmtId="2" fontId="59" fillId="0" borderId="20" xfId="0" applyNumberFormat="1" applyFont="1" applyBorder="1" applyAlignment="1" applyProtection="1">
      <alignment horizontal="center" vertical="center"/>
    </xf>
    <xf numFmtId="1" fontId="59" fillId="0" borderId="20" xfId="0" applyNumberFormat="1" applyFont="1" applyBorder="1" applyAlignment="1" applyProtection="1">
      <alignment horizontal="center" vertical="center"/>
    </xf>
    <xf numFmtId="1" fontId="59" fillId="0" borderId="60" xfId="0" applyNumberFormat="1" applyFont="1" applyBorder="1" applyAlignment="1" applyProtection="1">
      <alignment horizontal="center" vertical="center"/>
    </xf>
    <xf numFmtId="3" fontId="72" fillId="0" borderId="15" xfId="0" applyNumberFormat="1" applyFont="1" applyBorder="1" applyAlignment="1" applyProtection="1">
      <alignment horizontal="center" vertical="center"/>
    </xf>
    <xf numFmtId="4" fontId="61" fillId="0" borderId="15" xfId="0" applyNumberFormat="1" applyFont="1" applyBorder="1" applyAlignment="1" applyProtection="1">
      <alignment horizontal="center" vertical="center"/>
    </xf>
    <xf numFmtId="2" fontId="61" fillId="0" borderId="15" xfId="0" applyNumberFormat="1" applyFont="1" applyBorder="1" applyAlignment="1" applyProtection="1">
      <alignment horizontal="center" vertical="center"/>
    </xf>
    <xf numFmtId="1" fontId="61" fillId="0" borderId="15" xfId="0" applyNumberFormat="1" applyFont="1" applyBorder="1" applyAlignment="1" applyProtection="1">
      <alignment horizontal="center" vertical="center"/>
    </xf>
    <xf numFmtId="1" fontId="61" fillId="0" borderId="62" xfId="0" applyNumberFormat="1" applyFont="1" applyBorder="1" applyAlignment="1" applyProtection="1">
      <alignment horizontal="center" vertical="center"/>
    </xf>
    <xf numFmtId="3" fontId="73" fillId="0" borderId="15" xfId="0" applyNumberFormat="1" applyFont="1" applyFill="1" applyBorder="1" applyAlignment="1" applyProtection="1">
      <alignment horizontal="center" vertical="center"/>
    </xf>
    <xf numFmtId="4" fontId="64" fillId="0" borderId="15" xfId="0" applyNumberFormat="1" applyFont="1" applyFill="1" applyBorder="1" applyAlignment="1" applyProtection="1">
      <alignment horizontal="center" vertical="center"/>
    </xf>
    <xf numFmtId="2" fontId="64" fillId="0" borderId="15" xfId="0" applyNumberFormat="1" applyFont="1" applyBorder="1" applyAlignment="1" applyProtection="1">
      <alignment horizontal="center" vertical="center"/>
    </xf>
    <xf numFmtId="1" fontId="64" fillId="0" borderId="15" xfId="0" applyNumberFormat="1" applyFont="1" applyBorder="1" applyAlignment="1" applyProtection="1">
      <alignment horizontal="center" vertical="center"/>
    </xf>
    <xf numFmtId="1" fontId="64" fillId="0" borderId="62" xfId="0" applyNumberFormat="1" applyFont="1" applyBorder="1" applyAlignment="1" applyProtection="1">
      <alignment horizontal="center" vertical="center"/>
    </xf>
    <xf numFmtId="3" fontId="67" fillId="0" borderId="15" xfId="0" applyNumberFormat="1" applyFont="1" applyBorder="1" applyAlignment="1" applyProtection="1">
      <alignment horizontal="center" vertical="center"/>
    </xf>
    <xf numFmtId="4" fontId="74" fillId="0" borderId="15" xfId="0" applyNumberFormat="1" applyFont="1" applyBorder="1" applyAlignment="1" applyProtection="1">
      <alignment horizontal="center" vertical="center"/>
    </xf>
    <xf numFmtId="2" fontId="74" fillId="0" borderId="15" xfId="0" applyNumberFormat="1" applyFont="1" applyBorder="1" applyAlignment="1" applyProtection="1">
      <alignment horizontal="center" vertical="center"/>
    </xf>
    <xf numFmtId="1" fontId="74" fillId="0" borderId="15" xfId="0" applyNumberFormat="1" applyFont="1" applyBorder="1" applyAlignment="1" applyProtection="1">
      <alignment horizontal="center" vertical="center"/>
    </xf>
    <xf numFmtId="1" fontId="74" fillId="0" borderId="62" xfId="0" applyNumberFormat="1" applyFont="1" applyBorder="1" applyAlignment="1" applyProtection="1">
      <alignment horizontal="center" vertical="center"/>
    </xf>
    <xf numFmtId="0" fontId="57" fillId="0" borderId="36" xfId="0" applyFont="1" applyBorder="1" applyAlignment="1" applyProtection="1">
      <alignment horizontal="center" vertical="center" wrapText="1"/>
    </xf>
    <xf numFmtId="0" fontId="57" fillId="0" borderId="82" xfId="0" applyFont="1" applyBorder="1" applyAlignment="1" applyProtection="1">
      <alignment horizontal="center" vertical="center" wrapText="1"/>
    </xf>
    <xf numFmtId="0" fontId="58" fillId="0" borderId="11" xfId="0" applyFont="1" applyBorder="1" applyAlignment="1" applyProtection="1">
      <alignment horizontal="center" vertical="center" wrapText="1"/>
    </xf>
    <xf numFmtId="0" fontId="58" fillId="0" borderId="84" xfId="0" applyFont="1" applyBorder="1" applyAlignment="1" applyProtection="1">
      <alignment horizontal="center" vertical="center" wrapText="1"/>
    </xf>
    <xf numFmtId="2" fontId="78" fillId="8" borderId="15" xfId="0" applyNumberFormat="1" applyFont="1" applyFill="1" applyBorder="1" applyAlignment="1" applyProtection="1">
      <alignment horizontal="center" vertical="center"/>
      <protection locked="0"/>
    </xf>
    <xf numFmtId="1" fontId="78" fillId="8" borderId="15" xfId="0" applyNumberFormat="1" applyFont="1" applyFill="1" applyBorder="1" applyAlignment="1" applyProtection="1">
      <alignment horizontal="center" vertical="center"/>
      <protection locked="0"/>
    </xf>
    <xf numFmtId="2" fontId="78" fillId="8" borderId="31" xfId="0" applyNumberFormat="1" applyFont="1" applyFill="1" applyBorder="1" applyAlignment="1" applyProtection="1">
      <alignment horizontal="center" vertical="center"/>
      <protection locked="0"/>
    </xf>
    <xf numFmtId="1" fontId="78" fillId="8" borderId="31" xfId="0" applyNumberFormat="1" applyFont="1" applyFill="1" applyBorder="1" applyAlignment="1" applyProtection="1">
      <alignment horizontal="center" vertical="center"/>
      <protection locked="0"/>
    </xf>
    <xf numFmtId="0" fontId="58" fillId="0" borderId="6" xfId="0" applyFont="1" applyBorder="1" applyAlignment="1" applyProtection="1">
      <alignment horizontal="center" vertical="center"/>
    </xf>
    <xf numFmtId="0" fontId="58" fillId="0" borderId="46" xfId="0" applyFont="1" applyBorder="1" applyAlignment="1" applyProtection="1">
      <alignment horizontal="center" vertical="center" wrapText="1"/>
    </xf>
    <xf numFmtId="2" fontId="62" fillId="0" borderId="11" xfId="0" applyNumberFormat="1" applyFont="1" applyFill="1" applyBorder="1" applyAlignment="1" applyProtection="1">
      <alignment horizontal="center" vertical="center"/>
    </xf>
    <xf numFmtId="1" fontId="62" fillId="8" borderId="11" xfId="0" applyNumberFormat="1" applyFont="1" applyFill="1" applyBorder="1" applyAlignment="1" applyProtection="1">
      <alignment horizontal="center" vertical="center"/>
      <protection locked="0"/>
    </xf>
    <xf numFmtId="2" fontId="62" fillId="0" borderId="15" xfId="0" applyNumberFormat="1" applyFont="1" applyFill="1" applyBorder="1" applyAlignment="1" applyProtection="1">
      <alignment horizontal="center" vertical="center"/>
    </xf>
    <xf numFmtId="1" fontId="62" fillId="8" borderId="15" xfId="0" applyNumberFormat="1" applyFont="1" applyFill="1" applyBorder="1" applyAlignment="1" applyProtection="1">
      <alignment horizontal="center" vertical="center"/>
      <protection locked="0"/>
    </xf>
    <xf numFmtId="2" fontId="62" fillId="0" borderId="78" xfId="0" applyNumberFormat="1" applyFont="1" applyFill="1" applyBorder="1" applyAlignment="1" applyProtection="1">
      <alignment horizontal="center" vertical="center"/>
    </xf>
    <xf numFmtId="1" fontId="62" fillId="8" borderId="78" xfId="0" applyNumberFormat="1" applyFont="1" applyFill="1" applyBorder="1" applyAlignment="1" applyProtection="1">
      <alignment horizontal="center" vertical="center"/>
      <protection locked="0"/>
    </xf>
    <xf numFmtId="2" fontId="62" fillId="8" borderId="78" xfId="0" applyNumberFormat="1" applyFont="1" applyFill="1" applyBorder="1" applyAlignment="1" applyProtection="1">
      <alignment horizontal="center" vertical="center"/>
      <protection locked="0"/>
    </xf>
    <xf numFmtId="0" fontId="57" fillId="0" borderId="0" xfId="0" applyFont="1" applyBorder="1" applyAlignment="1" applyProtection="1">
      <alignment horizontal="right" vertical="center"/>
    </xf>
    <xf numFmtId="0" fontId="58" fillId="0" borderId="0" xfId="0" applyFont="1" applyBorder="1" applyAlignment="1" applyProtection="1">
      <alignment horizontal="right"/>
    </xf>
    <xf numFmtId="3" fontId="57" fillId="0" borderId="0" xfId="1" applyNumberFormat="1" applyFont="1" applyBorder="1" applyAlignment="1" applyProtection="1">
      <alignment horizontal="center" vertical="center"/>
    </xf>
    <xf numFmtId="2" fontId="57" fillId="0" borderId="0" xfId="0" applyNumberFormat="1" applyFont="1" applyBorder="1" applyAlignment="1" applyProtection="1">
      <alignment horizontal="center" vertical="center"/>
    </xf>
    <xf numFmtId="165" fontId="57" fillId="0" borderId="0" xfId="1" applyNumberFormat="1" applyFont="1" applyBorder="1" applyAlignment="1" applyProtection="1">
      <alignment horizontal="center" vertical="center"/>
    </xf>
    <xf numFmtId="0" fontId="58" fillId="0" borderId="55" xfId="0" applyFont="1" applyBorder="1" applyAlignment="1" applyProtection="1">
      <alignment horizontal="right"/>
    </xf>
    <xf numFmtId="3" fontId="57" fillId="0" borderId="55" xfId="1" applyNumberFormat="1" applyFont="1" applyBorder="1" applyAlignment="1" applyProtection="1">
      <alignment horizontal="center" vertical="center"/>
    </xf>
    <xf numFmtId="2" fontId="57" fillId="0" borderId="55" xfId="0" applyNumberFormat="1" applyFont="1" applyBorder="1" applyAlignment="1" applyProtection="1">
      <alignment horizontal="center" vertical="center"/>
    </xf>
    <xf numFmtId="165" fontId="57" fillId="0" borderId="55" xfId="1" applyNumberFormat="1" applyFont="1" applyBorder="1" applyAlignment="1" applyProtection="1">
      <alignment horizontal="center" vertical="center"/>
    </xf>
    <xf numFmtId="165" fontId="57" fillId="0" borderId="56" xfId="1" applyNumberFormat="1" applyFont="1" applyBorder="1" applyAlignment="1" applyProtection="1">
      <alignment horizontal="center" vertical="center"/>
    </xf>
    <xf numFmtId="2" fontId="78" fillId="8" borderId="78" xfId="0" applyNumberFormat="1" applyFont="1" applyFill="1" applyBorder="1" applyAlignment="1" applyProtection="1">
      <alignment horizontal="center" vertical="center"/>
      <protection locked="0"/>
    </xf>
    <xf numFmtId="2" fontId="62" fillId="8" borderId="24" xfId="0" applyNumberFormat="1" applyFont="1" applyFill="1" applyBorder="1" applyAlignment="1" applyProtection="1">
      <alignment horizontal="center" vertical="center"/>
      <protection locked="0"/>
    </xf>
    <xf numFmtId="2" fontId="63" fillId="0" borderId="35" xfId="0" applyNumberFormat="1" applyFont="1" applyFill="1" applyBorder="1" applyAlignment="1" applyProtection="1">
      <alignment horizontal="center" vertical="center"/>
      <protection locked="0"/>
    </xf>
    <xf numFmtId="0" fontId="62" fillId="0" borderId="35" xfId="0" applyFont="1" applyFill="1" applyBorder="1" applyAlignment="1" applyProtection="1">
      <alignment horizontal="center" vertical="center"/>
    </xf>
    <xf numFmtId="2" fontId="63" fillId="0" borderId="0" xfId="0" applyNumberFormat="1"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xf>
    <xf numFmtId="0" fontId="76" fillId="0" borderId="72" xfId="0" applyFont="1" applyBorder="1" applyAlignment="1" applyProtection="1">
      <alignment horizontal="right" vertical="center"/>
    </xf>
    <xf numFmtId="0" fontId="76" fillId="0" borderId="9" xfId="0" applyFont="1" applyBorder="1" applyAlignment="1" applyProtection="1">
      <alignment horizontal="right" vertical="center"/>
    </xf>
    <xf numFmtId="0" fontId="58" fillId="0" borderId="72" xfId="0" applyFont="1" applyBorder="1" applyProtection="1"/>
    <xf numFmtId="0" fontId="58" fillId="0" borderId="9" xfId="0" applyFont="1" applyBorder="1" applyProtection="1"/>
    <xf numFmtId="0" fontId="58" fillId="0" borderId="0" xfId="0" applyFont="1" applyBorder="1" applyProtection="1"/>
    <xf numFmtId="2" fontId="62" fillId="0" borderId="0" xfId="0" applyNumberFormat="1" applyFont="1" applyFill="1" applyBorder="1" applyAlignment="1" applyProtection="1">
      <alignment horizontal="center" vertical="center"/>
    </xf>
    <xf numFmtId="0" fontId="58" fillId="0" borderId="93" xfId="0" applyFont="1" applyBorder="1" applyProtection="1"/>
    <xf numFmtId="0" fontId="58" fillId="0" borderId="94" xfId="0" applyFont="1" applyBorder="1" applyProtection="1"/>
    <xf numFmtId="0" fontId="58" fillId="0" borderId="95" xfId="0" applyFont="1" applyBorder="1" applyAlignment="1" applyProtection="1"/>
    <xf numFmtId="0" fontId="22" fillId="2" borderId="17" xfId="0" applyNumberFormat="1" applyFont="1" applyFill="1" applyBorder="1" applyAlignment="1" applyProtection="1">
      <alignment horizontal="center" wrapText="1"/>
    </xf>
    <xf numFmtId="0" fontId="76" fillId="0" borderId="55" xfId="0" applyFont="1" applyFill="1" applyBorder="1" applyAlignment="1" applyProtection="1">
      <alignment vertical="center"/>
    </xf>
    <xf numFmtId="0" fontId="76" fillId="0" borderId="56" xfId="0" applyFont="1" applyFill="1" applyBorder="1" applyAlignment="1" applyProtection="1">
      <alignment vertical="center"/>
    </xf>
    <xf numFmtId="0" fontId="62" fillId="0" borderId="20" xfId="0" applyFont="1" applyFill="1" applyBorder="1" applyAlignment="1" applyProtection="1">
      <alignment vertical="center"/>
    </xf>
    <xf numFmtId="0" fontId="62" fillId="0" borderId="60" xfId="0" applyFont="1" applyFill="1" applyBorder="1" applyAlignment="1" applyProtection="1">
      <alignment vertical="center"/>
    </xf>
    <xf numFmtId="0" fontId="62" fillId="0" borderId="15" xfId="0" applyFont="1" applyFill="1" applyBorder="1" applyAlignment="1" applyProtection="1">
      <alignment vertical="center"/>
    </xf>
    <xf numFmtId="0" fontId="62" fillId="0" borderId="62" xfId="0" applyFont="1" applyFill="1" applyBorder="1" applyAlignment="1" applyProtection="1">
      <alignment vertical="center"/>
    </xf>
    <xf numFmtId="1" fontId="18" fillId="18" borderId="22" xfId="0" applyNumberFormat="1" applyFont="1" applyFill="1" applyBorder="1" applyAlignment="1" applyProtection="1">
      <alignment horizontal="center" vertical="center"/>
    </xf>
    <xf numFmtId="1" fontId="18" fillId="18" borderId="14" xfId="0" applyNumberFormat="1"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0" xfId="0" applyFont="1" applyFill="1" applyBorder="1" applyAlignment="1" applyProtection="1">
      <alignment horizontal="center" vertical="center" wrapText="1"/>
    </xf>
    <xf numFmtId="0" fontId="76" fillId="0" borderId="0" xfId="0" applyFont="1" applyFill="1" applyBorder="1" applyAlignment="1" applyProtection="1">
      <alignment horizontal="right" vertical="center"/>
    </xf>
    <xf numFmtId="0" fontId="55" fillId="0" borderId="0" xfId="0" applyFont="1" applyFill="1" applyBorder="1" applyAlignment="1" applyProtection="1">
      <alignment horizontal="center" vertical="center"/>
    </xf>
    <xf numFmtId="0" fontId="1" fillId="0" borderId="0" xfId="0" applyFont="1" applyFill="1" applyBorder="1" applyProtection="1"/>
    <xf numFmtId="0" fontId="2" fillId="0" borderId="15" xfId="0" applyFont="1" applyBorder="1" applyProtection="1"/>
    <xf numFmtId="1" fontId="2" fillId="0" borderId="15" xfId="0" applyNumberFormat="1" applyFont="1" applyBorder="1" applyProtection="1"/>
    <xf numFmtId="0" fontId="4" fillId="0" borderId="15" xfId="0" applyFont="1" applyBorder="1" applyAlignment="1" applyProtection="1">
      <alignment horizontal="right"/>
    </xf>
    <xf numFmtId="0" fontId="4" fillId="0" borderId="15" xfId="0" applyFont="1" applyBorder="1" applyProtection="1"/>
    <xf numFmtId="0" fontId="2" fillId="0" borderId="11" xfId="0" applyFont="1" applyBorder="1" applyProtection="1"/>
    <xf numFmtId="0" fontId="2" fillId="0" borderId="24" xfId="0" applyFont="1" applyBorder="1" applyProtection="1"/>
    <xf numFmtId="0" fontId="2" fillId="0" borderId="30" xfId="0" applyFont="1" applyBorder="1" applyProtection="1"/>
    <xf numFmtId="2" fontId="23" fillId="0" borderId="15" xfId="0" applyNumberFormat="1" applyFont="1" applyFill="1" applyBorder="1" applyAlignment="1" applyProtection="1">
      <alignment horizontal="center" vertical="center"/>
    </xf>
    <xf numFmtId="0" fontId="23" fillId="0" borderId="20"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3" fontId="78" fillId="0" borderId="15" xfId="0" applyNumberFormat="1" applyFont="1" applyBorder="1" applyAlignment="1" applyProtection="1">
      <alignment horizontal="center" vertical="center"/>
    </xf>
    <xf numFmtId="0" fontId="5" fillId="0" borderId="58" xfId="0" applyFont="1" applyBorder="1" applyAlignment="1" applyProtection="1">
      <alignment horizontal="center" vertical="center" wrapText="1"/>
    </xf>
    <xf numFmtId="0" fontId="9" fillId="4" borderId="69" xfId="0" applyFont="1" applyFill="1" applyBorder="1" applyAlignment="1" applyProtection="1">
      <alignment vertical="center"/>
    </xf>
    <xf numFmtId="0" fontId="86" fillId="4" borderId="35" xfId="0" applyFont="1" applyFill="1" applyBorder="1" applyAlignment="1" applyProtection="1">
      <alignment vertical="center"/>
    </xf>
    <xf numFmtId="0" fontId="87" fillId="4" borderId="35" xfId="0" applyFont="1" applyFill="1" applyBorder="1" applyAlignment="1" applyProtection="1">
      <alignment vertical="center"/>
    </xf>
    <xf numFmtId="0" fontId="87" fillId="4" borderId="70" xfId="0" applyFont="1" applyFill="1" applyBorder="1" applyAlignment="1" applyProtection="1">
      <alignment horizontal="center" vertical="center"/>
    </xf>
    <xf numFmtId="0" fontId="5" fillId="0" borderId="36" xfId="0" applyFont="1" applyBorder="1" applyAlignment="1" applyProtection="1">
      <alignment horizontal="center" vertical="center" wrapText="1"/>
    </xf>
    <xf numFmtId="0" fontId="5" fillId="0" borderId="82"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84" xfId="0" applyFont="1" applyBorder="1" applyAlignment="1" applyProtection="1">
      <alignment horizontal="center" vertical="center" wrapText="1"/>
    </xf>
    <xf numFmtId="4" fontId="84" fillId="0" borderId="15" xfId="0" applyNumberFormat="1" applyFont="1" applyBorder="1" applyAlignment="1" applyProtection="1">
      <alignment horizontal="center" vertical="center"/>
    </xf>
    <xf numFmtId="4" fontId="40" fillId="0" borderId="15" xfId="0" applyNumberFormat="1" applyFont="1" applyBorder="1" applyAlignment="1" applyProtection="1">
      <alignment horizontal="center" vertical="center"/>
    </xf>
    <xf numFmtId="3" fontId="84" fillId="0" borderId="15" xfId="0" applyNumberFormat="1" applyFont="1" applyBorder="1" applyAlignment="1" applyProtection="1">
      <alignment horizontal="center" vertical="center"/>
    </xf>
    <xf numFmtId="0" fontId="58" fillId="0" borderId="30" xfId="0" applyFont="1" applyBorder="1" applyAlignment="1" applyProtection="1">
      <alignment horizontal="center" vertical="center" wrapText="1"/>
    </xf>
    <xf numFmtId="0" fontId="87" fillId="0" borderId="7" xfId="0" applyFont="1" applyBorder="1" applyAlignment="1" applyProtection="1">
      <alignment horizontal="center" vertical="center" wrapText="1"/>
    </xf>
    <xf numFmtId="0" fontId="87" fillId="0" borderId="85" xfId="0" applyFont="1" applyBorder="1" applyAlignment="1" applyProtection="1">
      <alignment horizontal="center" vertical="center" wrapText="1"/>
    </xf>
    <xf numFmtId="169" fontId="78" fillId="0" borderId="15" xfId="0" applyNumberFormat="1" applyFont="1" applyFill="1" applyBorder="1" applyAlignment="1" applyProtection="1">
      <alignment horizontal="center" vertical="center"/>
    </xf>
    <xf numFmtId="0" fontId="78" fillId="0" borderId="0" xfId="0" applyFont="1" applyBorder="1" applyAlignment="1" applyProtection="1">
      <alignment horizontal="right"/>
    </xf>
    <xf numFmtId="3" fontId="71" fillId="0" borderId="0" xfId="1" applyNumberFormat="1" applyFont="1" applyBorder="1" applyAlignment="1" applyProtection="1">
      <alignment horizontal="center" vertical="center"/>
    </xf>
    <xf numFmtId="2" fontId="71" fillId="0" borderId="0" xfId="0" applyNumberFormat="1" applyFont="1" applyBorder="1" applyAlignment="1" applyProtection="1">
      <alignment horizontal="center" vertical="center"/>
    </xf>
    <xf numFmtId="165" fontId="71" fillId="0" borderId="0" xfId="1" applyNumberFormat="1" applyFont="1" applyBorder="1" applyAlignment="1" applyProtection="1">
      <alignment horizontal="center" vertical="center"/>
    </xf>
    <xf numFmtId="169" fontId="84" fillId="0" borderId="15" xfId="0" applyNumberFormat="1" applyFont="1" applyFill="1" applyBorder="1" applyAlignment="1" applyProtection="1">
      <alignment horizontal="center" vertical="center"/>
    </xf>
    <xf numFmtId="3" fontId="78" fillId="0" borderId="62" xfId="0" applyNumberFormat="1" applyFont="1" applyBorder="1" applyAlignment="1" applyProtection="1">
      <alignment horizontal="center" vertical="center"/>
    </xf>
    <xf numFmtId="4" fontId="40" fillId="0" borderId="62" xfId="0" applyNumberFormat="1" applyFont="1" applyBorder="1" applyAlignment="1" applyProtection="1">
      <alignment horizontal="center" vertical="center"/>
    </xf>
    <xf numFmtId="0" fontId="71" fillId="0" borderId="72" xfId="0" applyFont="1" applyBorder="1" applyAlignment="1" applyProtection="1">
      <alignment horizontal="right" vertical="center"/>
    </xf>
    <xf numFmtId="165" fontId="71" fillId="0" borderId="73" xfId="1" applyNumberFormat="1" applyFont="1" applyBorder="1" applyAlignment="1" applyProtection="1">
      <alignment horizontal="center" vertical="center"/>
    </xf>
    <xf numFmtId="0" fontId="84" fillId="0" borderId="78" xfId="0" applyFont="1" applyFill="1" applyBorder="1" applyAlignment="1" applyProtection="1">
      <alignment vertical="center"/>
    </xf>
    <xf numFmtId="0" fontId="84" fillId="0" borderId="79" xfId="0" applyFont="1" applyFill="1" applyBorder="1" applyAlignment="1" applyProtection="1">
      <alignment vertical="center"/>
    </xf>
    <xf numFmtId="169" fontId="3" fillId="0" borderId="44" xfId="0" applyNumberFormat="1" applyFont="1" applyFill="1" applyBorder="1" applyAlignment="1" applyProtection="1">
      <alignment horizontal="center" vertical="center"/>
    </xf>
    <xf numFmtId="0" fontId="87" fillId="0" borderId="48" xfId="0" applyFont="1" applyBorder="1" applyAlignment="1" applyProtection="1">
      <alignment horizontal="center" vertical="center" wrapText="1"/>
    </xf>
    <xf numFmtId="0" fontId="87" fillId="0" borderId="47" xfId="0" applyFont="1" applyBorder="1" applyAlignment="1" applyProtection="1">
      <alignment horizontal="center" vertical="center" wrapText="1"/>
    </xf>
    <xf numFmtId="0" fontId="78" fillId="0" borderId="20" xfId="0" applyFont="1" applyBorder="1" applyAlignment="1" applyProtection="1">
      <alignment horizontal="center" vertical="center" wrapText="1"/>
    </xf>
    <xf numFmtId="0" fontId="78" fillId="0" borderId="21" xfId="0" applyFont="1" applyBorder="1" applyAlignment="1" applyProtection="1">
      <alignment horizontal="center" vertical="center" wrapText="1"/>
    </xf>
    <xf numFmtId="169" fontId="84" fillId="0" borderId="31" xfId="0" applyNumberFormat="1" applyFont="1" applyFill="1" applyBorder="1" applyAlignment="1" applyProtection="1">
      <alignment horizontal="center" vertical="center"/>
    </xf>
    <xf numFmtId="170" fontId="84" fillId="0" borderId="15"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xf>
    <xf numFmtId="2" fontId="23" fillId="0" borderId="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0" fontId="0" fillId="0" borderId="39" xfId="0" applyBorder="1" applyProtection="1"/>
    <xf numFmtId="0" fontId="0" fillId="0" borderId="9" xfId="0" applyBorder="1" applyProtection="1"/>
    <xf numFmtId="0" fontId="23" fillId="0" borderId="22" xfId="0" applyFont="1" applyFill="1" applyBorder="1" applyAlignment="1" applyProtection="1">
      <alignment horizontal="center" vertical="center" wrapText="1"/>
    </xf>
    <xf numFmtId="2" fontId="23" fillId="0" borderId="14" xfId="0" applyNumberFormat="1" applyFont="1" applyFill="1" applyBorder="1" applyAlignment="1" applyProtection="1">
      <alignment horizontal="center" vertical="center"/>
    </xf>
    <xf numFmtId="1" fontId="8" fillId="0" borderId="40" xfId="0" applyNumberFormat="1" applyFont="1" applyFill="1" applyBorder="1" applyAlignment="1" applyProtection="1">
      <alignment horizontal="center" vertical="center"/>
    </xf>
    <xf numFmtId="1" fontId="8" fillId="0" borderId="4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wrapText="1"/>
    </xf>
    <xf numFmtId="0" fontId="58" fillId="0" borderId="46" xfId="0" applyFont="1" applyFill="1" applyBorder="1" applyAlignment="1" applyProtection="1">
      <alignment horizontal="center" vertical="center"/>
    </xf>
    <xf numFmtId="0" fontId="58" fillId="0" borderId="6" xfId="0" applyFont="1" applyBorder="1" applyAlignment="1" applyProtection="1">
      <alignment horizontal="center" vertical="center" wrapText="1"/>
    </xf>
    <xf numFmtId="0" fontId="2" fillId="0" borderId="15" xfId="0" applyFont="1" applyBorder="1" applyAlignment="1" applyProtection="1">
      <alignment horizontal="center"/>
    </xf>
    <xf numFmtId="0" fontId="1" fillId="0" borderId="0" xfId="0" applyFont="1" applyAlignment="1" applyProtection="1">
      <alignment horizontal="left" vertical="center"/>
    </xf>
    <xf numFmtId="0" fontId="2" fillId="0" borderId="0" xfId="0" applyFont="1" applyAlignment="1" applyProtection="1">
      <alignment horizontal="center" vertical="center" wrapText="1"/>
    </xf>
    <xf numFmtId="1" fontId="8" fillId="0" borderId="0" xfId="0" applyNumberFormat="1" applyFont="1" applyFill="1" applyBorder="1" applyAlignment="1" applyProtection="1">
      <alignment horizontal="center" vertical="center"/>
    </xf>
    <xf numFmtId="0" fontId="5" fillId="0" borderId="6" xfId="0" applyFont="1" applyBorder="1" applyAlignment="1" applyProtection="1">
      <alignment horizontal="center" vertical="center" wrapText="1"/>
    </xf>
    <xf numFmtId="0" fontId="63" fillId="8" borderId="20" xfId="0" applyFont="1" applyFill="1" applyBorder="1" applyAlignment="1" applyProtection="1">
      <alignment horizontal="center" vertical="center"/>
      <protection locked="0"/>
    </xf>
    <xf numFmtId="3" fontId="63" fillId="8" borderId="20" xfId="0" applyNumberFormat="1" applyFont="1" applyFill="1" applyBorder="1" applyAlignment="1" applyProtection="1">
      <alignment horizontal="center" vertical="center"/>
      <protection locked="0"/>
    </xf>
    <xf numFmtId="3" fontId="63" fillId="0" borderId="20" xfId="0" applyNumberFormat="1" applyFont="1" applyFill="1" applyBorder="1" applyAlignment="1" applyProtection="1">
      <alignment horizontal="center" vertical="center"/>
    </xf>
    <xf numFmtId="2" fontId="63" fillId="8" borderId="20" xfId="0" applyNumberFormat="1" applyFont="1" applyFill="1" applyBorder="1" applyAlignment="1" applyProtection="1">
      <alignment horizontal="center" vertical="center"/>
      <protection locked="0"/>
    </xf>
    <xf numFmtId="0" fontId="63" fillId="8" borderId="15" xfId="0" applyFont="1" applyFill="1" applyBorder="1" applyAlignment="1" applyProtection="1">
      <alignment horizontal="center" vertical="center"/>
      <protection locked="0"/>
    </xf>
    <xf numFmtId="3" fontId="63" fillId="8" borderId="15" xfId="0" applyNumberFormat="1" applyFont="1" applyFill="1" applyBorder="1" applyAlignment="1" applyProtection="1">
      <alignment horizontal="center" vertical="center"/>
      <protection locked="0"/>
    </xf>
    <xf numFmtId="3" fontId="63" fillId="0" borderId="15" xfId="0" applyNumberFormat="1" applyFont="1" applyFill="1" applyBorder="1" applyAlignment="1" applyProtection="1">
      <alignment horizontal="center" vertical="center"/>
    </xf>
    <xf numFmtId="2" fontId="63" fillId="8" borderId="15" xfId="0" applyNumberFormat="1" applyFont="1" applyFill="1" applyBorder="1" applyAlignment="1" applyProtection="1">
      <alignment horizontal="center" vertical="center"/>
      <protection locked="0"/>
    </xf>
    <xf numFmtId="0" fontId="63" fillId="8" borderId="31" xfId="0" applyFont="1" applyFill="1" applyBorder="1" applyAlignment="1" applyProtection="1">
      <alignment horizontal="center" vertical="center"/>
      <protection locked="0"/>
    </xf>
    <xf numFmtId="3" fontId="63" fillId="8" borderId="31" xfId="0" applyNumberFormat="1" applyFont="1" applyFill="1" applyBorder="1" applyAlignment="1" applyProtection="1">
      <alignment horizontal="center" vertical="center"/>
      <protection locked="0"/>
    </xf>
    <xf numFmtId="3" fontId="63" fillId="0" borderId="31" xfId="0" applyNumberFormat="1" applyFont="1" applyFill="1" applyBorder="1" applyAlignment="1" applyProtection="1">
      <alignment horizontal="center" vertical="center"/>
    </xf>
    <xf numFmtId="2" fontId="63" fillId="8" borderId="31" xfId="0" applyNumberFormat="1" applyFont="1" applyFill="1" applyBorder="1" applyAlignment="1" applyProtection="1">
      <alignment horizontal="center" vertical="center"/>
      <protection locked="0"/>
    </xf>
    <xf numFmtId="0" fontId="0" fillId="0" borderId="0" xfId="0" applyAlignment="1" applyProtection="1">
      <alignment horizontal="right"/>
    </xf>
    <xf numFmtId="3" fontId="0" fillId="0" borderId="0" xfId="0" applyNumberFormat="1" applyAlignment="1" applyProtection="1">
      <alignment horizontal="right"/>
    </xf>
    <xf numFmtId="3" fontId="57" fillId="11" borderId="46" xfId="1" applyNumberFormat="1" applyFont="1" applyFill="1" applyBorder="1" applyAlignment="1" applyProtection="1">
      <alignment horizontal="right" vertical="center"/>
    </xf>
    <xf numFmtId="2" fontId="57" fillId="11" borderId="46" xfId="0" applyNumberFormat="1" applyFont="1" applyFill="1" applyBorder="1" applyAlignment="1" applyProtection="1">
      <alignment horizontal="right" vertical="center"/>
    </xf>
    <xf numFmtId="165" fontId="57" fillId="11" borderId="46" xfId="1" applyNumberFormat="1" applyFont="1" applyFill="1" applyBorder="1" applyAlignment="1" applyProtection="1">
      <alignment horizontal="right" vertical="center"/>
    </xf>
    <xf numFmtId="165" fontId="57" fillId="11" borderId="71" xfId="1" applyNumberFormat="1" applyFont="1" applyFill="1" applyBorder="1" applyAlignment="1" applyProtection="1">
      <alignment horizontal="right" vertical="center"/>
    </xf>
    <xf numFmtId="3" fontId="57" fillId="11" borderId="6" xfId="1" applyNumberFormat="1" applyFont="1" applyFill="1" applyBorder="1" applyAlignment="1" applyProtection="1">
      <alignment horizontal="center" vertical="center"/>
    </xf>
    <xf numFmtId="2" fontId="57" fillId="11" borderId="6" xfId="0" applyNumberFormat="1" applyFont="1" applyFill="1" applyBorder="1" applyAlignment="1" applyProtection="1">
      <alignment horizontal="center" vertical="center"/>
    </xf>
    <xf numFmtId="3" fontId="57" fillId="11" borderId="58" xfId="1" applyNumberFormat="1" applyFont="1" applyFill="1" applyBorder="1" applyAlignment="1" applyProtection="1">
      <alignment horizontal="center" vertical="center"/>
    </xf>
    <xf numFmtId="164" fontId="2" fillId="0" borderId="15" xfId="0" applyNumberFormat="1" applyFont="1" applyBorder="1" applyAlignment="1" applyProtection="1">
      <alignment horizontal="center"/>
    </xf>
    <xf numFmtId="3" fontId="2" fillId="0" borderId="15" xfId="0" applyNumberFormat="1" applyFont="1" applyBorder="1" applyAlignment="1" applyProtection="1">
      <alignment horizontal="center"/>
    </xf>
    <xf numFmtId="4" fontId="2" fillId="0" borderId="15" xfId="0" applyNumberFormat="1" applyFont="1" applyBorder="1" applyAlignment="1" applyProtection="1">
      <alignment horizontal="center"/>
    </xf>
    <xf numFmtId="4" fontId="2" fillId="0" borderId="25" xfId="0" applyNumberFormat="1" applyFont="1" applyBorder="1" applyAlignment="1" applyProtection="1">
      <alignment horizontal="center"/>
    </xf>
    <xf numFmtId="0" fontId="2" fillId="0" borderId="14" xfId="0" applyFont="1" applyBorder="1" applyAlignment="1" applyProtection="1">
      <alignment horizontal="center"/>
    </xf>
    <xf numFmtId="3" fontId="2" fillId="0" borderId="33" xfId="0" applyNumberFormat="1" applyFont="1" applyBorder="1" applyAlignment="1" applyProtection="1">
      <alignment horizontal="center"/>
    </xf>
    <xf numFmtId="3" fontId="2" fillId="0" borderId="31" xfId="0" applyNumberFormat="1" applyFont="1" applyBorder="1" applyAlignment="1" applyProtection="1">
      <alignment horizontal="center"/>
    </xf>
    <xf numFmtId="4" fontId="2" fillId="0" borderId="31" xfId="0" applyNumberFormat="1" applyFont="1" applyBorder="1" applyAlignment="1" applyProtection="1">
      <alignment horizontal="center"/>
    </xf>
    <xf numFmtId="4" fontId="2" fillId="0" borderId="32" xfId="0" applyNumberFormat="1" applyFont="1" applyBorder="1" applyAlignment="1" applyProtection="1">
      <alignment horizontal="center"/>
    </xf>
    <xf numFmtId="0" fontId="2" fillId="0" borderId="25" xfId="0" applyFont="1" applyBorder="1" applyAlignment="1" applyProtection="1">
      <alignment horizontal="center"/>
    </xf>
    <xf numFmtId="0" fontId="2" fillId="0" borderId="33" xfId="0" applyFont="1" applyBorder="1" applyAlignment="1" applyProtection="1">
      <alignment horizontal="center"/>
    </xf>
    <xf numFmtId="0" fontId="2" fillId="0" borderId="32" xfId="0" applyFont="1" applyBorder="1" applyAlignment="1" applyProtection="1">
      <alignment horizontal="center"/>
    </xf>
    <xf numFmtId="0" fontId="2" fillId="0" borderId="11" xfId="0" applyFont="1" applyBorder="1" applyAlignment="1" applyProtection="1">
      <alignment horizontal="center"/>
    </xf>
    <xf numFmtId="0" fontId="2" fillId="0" borderId="55" xfId="0" applyFont="1" applyFill="1" applyBorder="1" applyAlignment="1" applyProtection="1">
      <alignment horizontal="center" vertical="center" wrapText="1"/>
    </xf>
    <xf numFmtId="0" fontId="2" fillId="0" borderId="55" xfId="0" applyFont="1" applyFill="1" applyBorder="1" applyAlignment="1" applyProtection="1">
      <alignment vertical="center" wrapText="1"/>
    </xf>
    <xf numFmtId="0" fontId="2" fillId="0" borderId="55" xfId="0" applyFont="1" applyBorder="1" applyAlignment="1" applyProtection="1">
      <alignment horizontal="center" vertical="center" wrapText="1"/>
    </xf>
    <xf numFmtId="0" fontId="2" fillId="14" borderId="90" xfId="0" applyFont="1" applyFill="1" applyBorder="1" applyAlignment="1" applyProtection="1">
      <alignment horizontal="center" vertical="center" wrapText="1"/>
    </xf>
    <xf numFmtId="0" fontId="2" fillId="0" borderId="56" xfId="0" applyFont="1" applyBorder="1" applyAlignment="1" applyProtection="1">
      <alignment horizontal="center" vertical="center" wrapText="1"/>
    </xf>
    <xf numFmtId="1" fontId="4" fillId="0" borderId="107" xfId="0" applyNumberFormat="1" applyFont="1" applyBorder="1" applyProtection="1"/>
    <xf numFmtId="1" fontId="4" fillId="0" borderId="0" xfId="0" applyNumberFormat="1" applyFont="1" applyBorder="1" applyProtection="1"/>
    <xf numFmtId="165" fontId="4" fillId="0" borderId="0" xfId="0" applyNumberFormat="1" applyFont="1" applyBorder="1" applyProtection="1"/>
    <xf numFmtId="167" fontId="4" fillId="0" borderId="62" xfId="0" applyNumberFormat="1" applyFont="1" applyBorder="1" applyAlignment="1" applyProtection="1">
      <alignment horizontal="center"/>
    </xf>
    <xf numFmtId="1" fontId="2" fillId="0" borderId="107" xfId="0" applyNumberFormat="1" applyFont="1" applyBorder="1" applyProtection="1"/>
    <xf numFmtId="1" fontId="2" fillId="0" borderId="0" xfId="0" applyNumberFormat="1" applyFont="1" applyBorder="1" applyProtection="1"/>
    <xf numFmtId="165" fontId="2" fillId="0" borderId="0" xfId="0" applyNumberFormat="1" applyFont="1" applyBorder="1" applyProtection="1"/>
    <xf numFmtId="167" fontId="2" fillId="0" borderId="62" xfId="0" applyNumberFormat="1" applyFont="1" applyBorder="1" applyAlignment="1" applyProtection="1">
      <alignment horizontal="center"/>
    </xf>
    <xf numFmtId="1" fontId="4" fillId="0" borderId="108" xfId="0" applyNumberFormat="1" applyFont="1" applyBorder="1" applyProtection="1"/>
    <xf numFmtId="1" fontId="4" fillId="0" borderId="95" xfId="0" applyNumberFormat="1" applyFont="1" applyBorder="1" applyProtection="1"/>
    <xf numFmtId="3" fontId="4" fillId="0" borderId="109" xfId="0" applyNumberFormat="1" applyFont="1" applyBorder="1" applyProtection="1"/>
    <xf numFmtId="4" fontId="4" fillId="0" borderId="78" xfId="0" applyNumberFormat="1" applyFont="1" applyBorder="1" applyProtection="1"/>
    <xf numFmtId="3" fontId="4" fillId="0" borderId="78" xfId="0" applyNumberFormat="1" applyFont="1" applyBorder="1" applyProtection="1"/>
    <xf numFmtId="3" fontId="4" fillId="0" borderId="110" xfId="0" applyNumberFormat="1" applyFont="1" applyBorder="1" applyProtection="1"/>
    <xf numFmtId="0" fontId="4" fillId="0" borderId="95" xfId="0" applyFont="1" applyBorder="1" applyProtection="1"/>
    <xf numFmtId="165" fontId="4" fillId="0" borderId="109" xfId="0" applyNumberFormat="1" applyFont="1" applyBorder="1" applyProtection="1"/>
    <xf numFmtId="166" fontId="4" fillId="0" borderId="78" xfId="0" applyNumberFormat="1" applyFont="1" applyBorder="1" applyProtection="1"/>
    <xf numFmtId="168" fontId="4" fillId="0" borderId="78" xfId="0" applyNumberFormat="1" applyFont="1" applyBorder="1" applyProtection="1"/>
    <xf numFmtId="166" fontId="4" fillId="0" borderId="110" xfId="0" applyNumberFormat="1" applyFont="1" applyBorder="1" applyProtection="1"/>
    <xf numFmtId="165" fontId="4" fillId="0" borderId="95" xfId="0" applyNumberFormat="1" applyFont="1" applyBorder="1" applyProtection="1"/>
    <xf numFmtId="2" fontId="4" fillId="0" borderId="109" xfId="0" applyNumberFormat="1" applyFont="1" applyBorder="1" applyProtection="1"/>
    <xf numFmtId="2" fontId="4" fillId="0" borderId="78" xfId="0" applyNumberFormat="1" applyFont="1" applyBorder="1" applyProtection="1"/>
    <xf numFmtId="2" fontId="4" fillId="0" borderId="111" xfId="0" applyNumberFormat="1" applyFont="1" applyBorder="1" applyProtection="1"/>
    <xf numFmtId="0" fontId="2" fillId="0" borderId="95" xfId="0" applyFont="1" applyBorder="1" applyProtection="1"/>
    <xf numFmtId="3" fontId="4" fillId="0" borderId="109" xfId="0" applyNumberFormat="1" applyFont="1" applyBorder="1" applyAlignment="1" applyProtection="1">
      <alignment horizontal="center"/>
    </xf>
    <xf numFmtId="167" fontId="4" fillId="0" borderId="79" xfId="0" applyNumberFormat="1" applyFont="1" applyBorder="1" applyAlignment="1" applyProtection="1">
      <alignment horizontal="center"/>
    </xf>
    <xf numFmtId="0" fontId="2" fillId="0" borderId="55" xfId="0" applyFont="1" applyBorder="1" applyProtection="1"/>
    <xf numFmtId="0" fontId="2" fillId="15" borderId="62" xfId="0" applyFont="1" applyFill="1" applyBorder="1" applyAlignment="1" applyProtection="1">
      <alignment horizontal="center"/>
    </xf>
    <xf numFmtId="0" fontId="38" fillId="0" borderId="67" xfId="0" applyFont="1" applyBorder="1" applyProtection="1"/>
    <xf numFmtId="1" fontId="2" fillId="2" borderId="62" xfId="0" applyNumberFormat="1" applyFont="1" applyFill="1" applyBorder="1" applyAlignment="1" applyProtection="1">
      <alignment horizontal="center" vertical="center"/>
    </xf>
    <xf numFmtId="0" fontId="2" fillId="0" borderId="93" xfId="0" applyFont="1" applyBorder="1" applyProtection="1"/>
    <xf numFmtId="1" fontId="2" fillId="0" borderId="78" xfId="0" applyNumberFormat="1" applyFont="1" applyFill="1" applyBorder="1" applyAlignment="1" applyProtection="1">
      <alignment horizontal="center"/>
    </xf>
    <xf numFmtId="1" fontId="2" fillId="0" borderId="78" xfId="0" applyNumberFormat="1" applyFont="1" applyBorder="1" applyAlignment="1" applyProtection="1">
      <alignment horizontal="center"/>
    </xf>
    <xf numFmtId="2" fontId="2" fillId="0" borderId="78" xfId="0" applyNumberFormat="1" applyFont="1" applyBorder="1" applyAlignment="1" applyProtection="1">
      <alignment horizontal="center" vertical="center"/>
    </xf>
    <xf numFmtId="164" fontId="2" fillId="0" borderId="78" xfId="0" applyNumberFormat="1" applyFont="1" applyBorder="1" applyAlignment="1" applyProtection="1">
      <alignment horizontal="center" vertical="center"/>
    </xf>
    <xf numFmtId="164" fontId="2" fillId="2" borderId="78" xfId="0" applyNumberFormat="1" applyFont="1" applyFill="1" applyBorder="1" applyAlignment="1" applyProtection="1">
      <alignment horizontal="center" vertical="center"/>
    </xf>
    <xf numFmtId="1" fontId="2" fillId="2" borderId="78" xfId="0" applyNumberFormat="1" applyFont="1" applyFill="1" applyBorder="1" applyAlignment="1" applyProtection="1">
      <alignment horizontal="center" vertical="center"/>
    </xf>
    <xf numFmtId="1" fontId="2" fillId="2" borderId="79" xfId="0" applyNumberFormat="1" applyFont="1" applyFill="1" applyBorder="1" applyAlignment="1" applyProtection="1">
      <alignment horizontal="center" vertical="center"/>
    </xf>
    <xf numFmtId="0" fontId="57" fillId="0" borderId="72" xfId="0" applyFont="1" applyBorder="1" applyAlignment="1" applyProtection="1">
      <alignment horizontal="right" vertical="center"/>
    </xf>
    <xf numFmtId="165" fontId="57" fillId="0" borderId="73" xfId="1" applyNumberFormat="1" applyFont="1" applyBorder="1" applyAlignment="1" applyProtection="1">
      <alignment horizontal="center" vertical="center"/>
    </xf>
    <xf numFmtId="1" fontId="78" fillId="8" borderId="78" xfId="0" applyNumberFormat="1" applyFont="1" applyFill="1" applyBorder="1" applyAlignment="1" applyProtection="1">
      <alignment horizontal="center" vertical="center"/>
      <protection locked="0"/>
    </xf>
    <xf numFmtId="0" fontId="6" fillId="0" borderId="36"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1" fontId="23" fillId="0" borderId="25" xfId="0" applyNumberFormat="1" applyFont="1" applyFill="1" applyBorder="1" applyAlignment="1" applyProtection="1">
      <alignment horizontal="center" vertical="center"/>
    </xf>
    <xf numFmtId="2" fontId="23" fillId="0" borderId="31" xfId="0" applyNumberFormat="1" applyFont="1" applyFill="1" applyBorder="1" applyAlignment="1" applyProtection="1">
      <alignment horizontal="center" vertical="center"/>
    </xf>
    <xf numFmtId="2" fontId="23" fillId="0" borderId="33" xfId="0" applyNumberFormat="1" applyFont="1" applyFill="1" applyBorder="1" applyAlignment="1" applyProtection="1">
      <alignment horizontal="center" vertical="center"/>
    </xf>
    <xf numFmtId="1" fontId="23" fillId="0" borderId="32" xfId="0" applyNumberFormat="1" applyFont="1" applyFill="1" applyBorder="1" applyAlignment="1" applyProtection="1">
      <alignment horizontal="center" vertical="center"/>
    </xf>
    <xf numFmtId="0" fontId="58" fillId="0" borderId="6" xfId="0" applyFont="1" applyBorder="1" applyAlignment="1" applyProtection="1">
      <alignment horizontal="center" vertical="center" wrapText="1"/>
    </xf>
    <xf numFmtId="0" fontId="2" fillId="0" borderId="15" xfId="0" applyFont="1" applyBorder="1" applyAlignment="1" applyProtection="1">
      <alignment horizontal="center"/>
    </xf>
    <xf numFmtId="0" fontId="2" fillId="14" borderId="90" xfId="0" applyFont="1" applyFill="1" applyBorder="1" applyAlignment="1" applyProtection="1">
      <alignment horizontal="center" vertical="center" wrapText="1"/>
    </xf>
    <xf numFmtId="0" fontId="58" fillId="0" borderId="30" xfId="0" applyFont="1" applyFill="1" applyBorder="1" applyAlignment="1" applyProtection="1">
      <alignment horizontal="center" vertical="center"/>
    </xf>
    <xf numFmtId="169" fontId="3" fillId="0" borderId="15" xfId="0" applyNumberFormat="1" applyFont="1" applyFill="1" applyBorder="1" applyAlignment="1" applyProtection="1">
      <alignment horizontal="center" vertical="center"/>
    </xf>
    <xf numFmtId="169" fontId="3" fillId="0" borderId="62" xfId="0" applyNumberFormat="1" applyFont="1" applyFill="1" applyBorder="1" applyAlignment="1" applyProtection="1">
      <alignment horizontal="center" vertical="center"/>
    </xf>
    <xf numFmtId="0" fontId="5" fillId="0" borderId="6" xfId="0" applyFont="1" applyBorder="1" applyAlignment="1" applyProtection="1">
      <alignment horizontal="center" vertical="center" wrapText="1"/>
    </xf>
    <xf numFmtId="2" fontId="2" fillId="0" borderId="22" xfId="0" applyNumberFormat="1" applyFont="1" applyBorder="1" applyAlignment="1" applyProtection="1">
      <alignment horizontal="center"/>
    </xf>
    <xf numFmtId="2" fontId="2" fillId="0" borderId="21" xfId="0" applyNumberFormat="1" applyFont="1" applyBorder="1" applyAlignment="1" applyProtection="1">
      <alignment horizontal="center"/>
    </xf>
    <xf numFmtId="2" fontId="2" fillId="0" borderId="14" xfId="0" applyNumberFormat="1" applyFont="1" applyBorder="1" applyAlignment="1" applyProtection="1">
      <alignment horizontal="center"/>
    </xf>
    <xf numFmtId="2" fontId="2" fillId="0" borderId="25" xfId="0" applyNumberFormat="1" applyFont="1" applyBorder="1" applyAlignment="1" applyProtection="1">
      <alignment horizontal="center"/>
    </xf>
    <xf numFmtId="0" fontId="84" fillId="0" borderId="15" xfId="0" applyFont="1" applyFill="1" applyBorder="1" applyAlignment="1" applyProtection="1">
      <alignment vertical="center"/>
    </xf>
    <xf numFmtId="0" fontId="84" fillId="0" borderId="62" xfId="0" applyFont="1" applyFill="1" applyBorder="1" applyAlignment="1" applyProtection="1">
      <alignment vertical="center"/>
    </xf>
    <xf numFmtId="169" fontId="3" fillId="0" borderId="49" xfId="0" applyNumberFormat="1" applyFont="1" applyFill="1" applyBorder="1" applyAlignment="1" applyProtection="1">
      <alignment horizontal="center" vertical="center"/>
    </xf>
    <xf numFmtId="169" fontId="3" fillId="0" borderId="64" xfId="0" applyNumberFormat="1" applyFont="1" applyFill="1" applyBorder="1" applyAlignment="1" applyProtection="1">
      <alignment horizontal="center" vertical="center"/>
    </xf>
    <xf numFmtId="0" fontId="0" fillId="0" borderId="54" xfId="0" applyFill="1" applyBorder="1" applyProtection="1"/>
    <xf numFmtId="0" fontId="23" fillId="0" borderId="72" xfId="0" applyFont="1" applyFill="1" applyBorder="1" applyAlignment="1" applyProtection="1">
      <alignment horizontal="center" vertical="center"/>
    </xf>
    <xf numFmtId="1" fontId="23" fillId="0" borderId="73" xfId="0" applyNumberFormat="1"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8" fillId="0" borderId="83" xfId="0" applyFont="1" applyFill="1" applyBorder="1" applyAlignment="1" applyProtection="1">
      <alignment horizontal="center" vertical="center"/>
    </xf>
    <xf numFmtId="0" fontId="9" fillId="0" borderId="78" xfId="0" applyFont="1" applyFill="1" applyBorder="1" applyAlignment="1" applyProtection="1">
      <alignment horizontal="right"/>
    </xf>
    <xf numFmtId="0" fontId="9" fillId="0" borderId="0" xfId="0" applyFont="1" applyFill="1" applyBorder="1" applyAlignment="1" applyProtection="1">
      <alignment horizontal="center"/>
    </xf>
    <xf numFmtId="1" fontId="84" fillId="0" borderId="15" xfId="0" applyNumberFormat="1" applyFont="1" applyFill="1" applyBorder="1" applyAlignment="1" applyProtection="1">
      <alignment horizontal="center" vertical="center"/>
    </xf>
    <xf numFmtId="2" fontId="84" fillId="0" borderId="15" xfId="0" applyNumberFormat="1" applyFont="1" applyFill="1" applyBorder="1" applyAlignment="1" applyProtection="1">
      <alignment horizontal="center" vertical="center"/>
    </xf>
    <xf numFmtId="1" fontId="84" fillId="0" borderId="78" xfId="0" applyNumberFormat="1" applyFont="1" applyFill="1" applyBorder="1" applyAlignment="1" applyProtection="1">
      <alignment horizontal="center" vertical="center"/>
    </xf>
    <xf numFmtId="2" fontId="84" fillId="0" borderId="78" xfId="0" applyNumberFormat="1" applyFont="1" applyFill="1" applyBorder="1" applyAlignment="1" applyProtection="1">
      <alignment horizontal="center" vertical="center"/>
    </xf>
    <xf numFmtId="2" fontId="63" fillId="0" borderId="35" xfId="0" applyNumberFormat="1" applyFont="1" applyFill="1" applyBorder="1" applyAlignment="1" applyProtection="1">
      <alignment horizontal="center" vertical="center"/>
    </xf>
    <xf numFmtId="2" fontId="63" fillId="0" borderId="0" xfId="0" applyNumberFormat="1" applyFont="1" applyFill="1" applyBorder="1" applyAlignment="1" applyProtection="1">
      <alignment horizontal="center" vertical="center"/>
    </xf>
    <xf numFmtId="0" fontId="23" fillId="0" borderId="119" xfId="0" applyFont="1" applyFill="1" applyBorder="1" applyAlignment="1" applyProtection="1">
      <alignment horizontal="center" vertical="center"/>
    </xf>
    <xf numFmtId="0" fontId="23" fillId="0" borderId="120" xfId="0" applyFont="1" applyFill="1" applyBorder="1" applyAlignment="1" applyProtection="1">
      <alignment horizontal="center" vertical="center"/>
    </xf>
    <xf numFmtId="0" fontId="23" fillId="0" borderId="118" xfId="0" applyFont="1" applyFill="1" applyBorder="1" applyAlignment="1" applyProtection="1">
      <alignment horizontal="center" vertical="center"/>
    </xf>
    <xf numFmtId="1" fontId="23" fillId="0" borderId="121" xfId="0" applyNumberFormat="1" applyFont="1" applyFill="1" applyBorder="1" applyAlignment="1" applyProtection="1">
      <alignment horizontal="center" vertical="center"/>
    </xf>
    <xf numFmtId="1" fontId="23" fillId="0" borderId="122" xfId="0" applyNumberFormat="1" applyFont="1" applyFill="1" applyBorder="1" applyAlignment="1" applyProtection="1">
      <alignment horizontal="center" vertical="center"/>
    </xf>
    <xf numFmtId="0" fontId="23" fillId="0" borderId="15"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2" fontId="0" fillId="0" borderId="0" xfId="0" applyNumberFormat="1" applyProtection="1"/>
    <xf numFmtId="0" fontId="1" fillId="9" borderId="43" xfId="0" applyFont="1" applyFill="1" applyBorder="1" applyProtection="1">
      <protection locked="0"/>
    </xf>
    <xf numFmtId="164" fontId="13" fillId="9" borderId="76" xfId="0" applyNumberFormat="1" applyFont="1" applyFill="1" applyBorder="1" applyAlignment="1" applyProtection="1">
      <alignment horizontal="left" vertical="center"/>
      <protection locked="0"/>
    </xf>
    <xf numFmtId="0" fontId="1" fillId="9" borderId="44" xfId="0" applyFont="1" applyFill="1" applyBorder="1" applyProtection="1">
      <protection locked="0"/>
    </xf>
    <xf numFmtId="0" fontId="1" fillId="9" borderId="62" xfId="0" applyFont="1" applyFill="1" applyBorder="1" applyProtection="1">
      <protection locked="0"/>
    </xf>
    <xf numFmtId="0" fontId="1" fillId="9" borderId="49" xfId="0" applyFont="1" applyFill="1" applyBorder="1" applyProtection="1">
      <protection locked="0"/>
    </xf>
    <xf numFmtId="0" fontId="1" fillId="9" borderId="64" xfId="0" applyFont="1" applyFill="1" applyBorder="1" applyProtection="1">
      <protection locked="0"/>
    </xf>
    <xf numFmtId="0" fontId="58" fillId="9" borderId="43" xfId="0" applyFont="1" applyFill="1" applyBorder="1" applyAlignment="1" applyProtection="1">
      <alignment horizontal="center"/>
      <protection locked="0"/>
    </xf>
    <xf numFmtId="164" fontId="76" fillId="9" borderId="76" xfId="0" applyNumberFormat="1" applyFont="1" applyFill="1" applyBorder="1" applyAlignment="1" applyProtection="1">
      <alignment horizontal="center" vertical="center"/>
      <protection locked="0"/>
    </xf>
    <xf numFmtId="0" fontId="58" fillId="9" borderId="44" xfId="0" applyFont="1" applyFill="1" applyBorder="1" applyAlignment="1" applyProtection="1">
      <alignment horizontal="center"/>
      <protection locked="0"/>
    </xf>
    <xf numFmtId="0" fontId="58" fillId="9" borderId="62" xfId="0" applyFont="1" applyFill="1" applyBorder="1" applyAlignment="1" applyProtection="1">
      <alignment horizontal="center"/>
      <protection locked="0"/>
    </xf>
    <xf numFmtId="0" fontId="58" fillId="9" borderId="92" xfId="0" applyFont="1" applyFill="1" applyBorder="1" applyAlignment="1" applyProtection="1">
      <alignment horizontal="center"/>
      <protection locked="0"/>
    </xf>
    <xf numFmtId="0" fontId="58" fillId="9" borderId="79" xfId="0" applyFont="1" applyFill="1" applyBorder="1" applyAlignment="1" applyProtection="1">
      <alignment horizontal="center"/>
      <protection locked="0"/>
    </xf>
    <xf numFmtId="1" fontId="54" fillId="0" borderId="12" xfId="0" applyNumberFormat="1" applyFont="1" applyFill="1" applyBorder="1" applyAlignment="1" applyProtection="1">
      <alignment horizontal="center" vertical="center"/>
    </xf>
    <xf numFmtId="1" fontId="54" fillId="0" borderId="14" xfId="0" applyNumberFormat="1" applyFont="1" applyFill="1" applyBorder="1" applyAlignment="1" applyProtection="1">
      <alignment horizontal="center" vertical="center"/>
    </xf>
    <xf numFmtId="1" fontId="54" fillId="0" borderId="33" xfId="0" applyNumberFormat="1" applyFont="1" applyFill="1" applyBorder="1" applyAlignment="1" applyProtection="1">
      <alignment horizontal="center" vertical="center"/>
    </xf>
    <xf numFmtId="1" fontId="54" fillId="0" borderId="10" xfId="0" applyNumberFormat="1" applyFont="1" applyFill="1" applyBorder="1" applyAlignment="1" applyProtection="1">
      <alignment horizontal="center" vertical="center"/>
    </xf>
    <xf numFmtId="1" fontId="54" fillId="0" borderId="43" xfId="0" applyNumberFormat="1" applyFont="1" applyFill="1" applyBorder="1" applyAlignment="1" applyProtection="1">
      <alignment horizontal="center" vertical="center"/>
    </xf>
    <xf numFmtId="1" fontId="54" fillId="0" borderId="44" xfId="0" applyNumberFormat="1" applyFont="1" applyFill="1" applyBorder="1" applyAlignment="1" applyProtection="1">
      <alignment horizontal="center" vertical="center"/>
    </xf>
    <xf numFmtId="1" fontId="54" fillId="0" borderId="49" xfId="0" applyNumberFormat="1" applyFont="1" applyFill="1" applyBorder="1" applyAlignment="1" applyProtection="1">
      <alignment horizontal="center" vertical="center"/>
    </xf>
    <xf numFmtId="4" fontId="78" fillId="0" borderId="15" xfId="0" applyNumberFormat="1" applyFont="1" applyBorder="1" applyAlignment="1" applyProtection="1">
      <alignment horizontal="center" vertical="center"/>
    </xf>
    <xf numFmtId="0" fontId="84" fillId="0" borderId="20" xfId="0" applyFont="1" applyFill="1" applyBorder="1" applyAlignment="1" applyProtection="1">
      <alignment horizontal="center" vertical="center"/>
    </xf>
    <xf numFmtId="1" fontId="92" fillId="0" borderId="25" xfId="0" applyNumberFormat="1" applyFont="1" applyFill="1" applyBorder="1" applyAlignment="1" applyProtection="1">
      <alignment horizontal="center" vertical="center"/>
    </xf>
    <xf numFmtId="1" fontId="91" fillId="0" borderId="25" xfId="0" applyNumberFormat="1" applyFont="1" applyFill="1" applyBorder="1" applyAlignment="1" applyProtection="1">
      <alignment horizontal="center" vertical="center"/>
    </xf>
    <xf numFmtId="1" fontId="92" fillId="0" borderId="32" xfId="0" applyNumberFormat="1" applyFont="1" applyFill="1" applyBorder="1" applyAlignment="1" applyProtection="1">
      <alignment horizontal="center" vertical="center"/>
    </xf>
    <xf numFmtId="0" fontId="94" fillId="10" borderId="14" xfId="0" applyFont="1" applyFill="1" applyBorder="1" applyAlignment="1" applyProtection="1">
      <alignment horizontal="center" vertical="center"/>
    </xf>
    <xf numFmtId="0" fontId="0" fillId="0" borderId="34" xfId="0" applyBorder="1" applyProtection="1"/>
    <xf numFmtId="0" fontId="0" fillId="0" borderId="2" xfId="0" applyBorder="1" applyProtection="1"/>
    <xf numFmtId="0" fontId="58" fillId="0" borderId="2" xfId="0" applyFont="1" applyBorder="1" applyProtection="1"/>
    <xf numFmtId="0" fontId="58" fillId="0" borderId="37" xfId="0" applyFont="1" applyBorder="1" applyProtection="1"/>
    <xf numFmtId="0" fontId="58" fillId="0" borderId="28" xfId="0" applyFont="1" applyBorder="1" applyProtection="1"/>
    <xf numFmtId="0" fontId="91" fillId="0" borderId="21" xfId="0" applyFont="1" applyFill="1" applyBorder="1" applyAlignment="1" applyProtection="1">
      <alignment horizontal="center" vertical="center"/>
    </xf>
    <xf numFmtId="0" fontId="95" fillId="0" borderId="90" xfId="0" applyFont="1" applyBorder="1" applyAlignment="1" applyProtection="1">
      <alignment horizontal="right" vertical="center" wrapText="1"/>
    </xf>
    <xf numFmtId="0" fontId="30" fillId="9" borderId="90" xfId="0" applyFont="1" applyFill="1" applyBorder="1" applyAlignment="1" applyProtection="1">
      <alignment horizontal="center" vertical="center"/>
      <protection locked="0"/>
    </xf>
    <xf numFmtId="0" fontId="30" fillId="9" borderId="91" xfId="0" applyFont="1" applyFill="1" applyBorder="1" applyAlignment="1" applyProtection="1">
      <alignment horizontal="center" vertical="center"/>
      <protection locked="0"/>
    </xf>
    <xf numFmtId="0" fontId="30" fillId="0" borderId="106" xfId="0"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3" fontId="57" fillId="0" borderId="0" xfId="1" applyNumberFormat="1" applyFont="1" applyFill="1" applyBorder="1" applyAlignment="1" applyProtection="1">
      <alignment horizontal="center" vertical="center"/>
    </xf>
    <xf numFmtId="2" fontId="57" fillId="0" borderId="0" xfId="0" applyNumberFormat="1" applyFont="1" applyFill="1" applyBorder="1" applyAlignment="1" applyProtection="1">
      <alignment horizontal="center" vertical="center"/>
    </xf>
    <xf numFmtId="3" fontId="57" fillId="0" borderId="73" xfId="1" applyNumberFormat="1" applyFont="1" applyFill="1" applyBorder="1" applyAlignment="1" applyProtection="1">
      <alignment horizontal="center" vertical="center"/>
    </xf>
    <xf numFmtId="3" fontId="57" fillId="11" borderId="36" xfId="1" applyNumberFormat="1" applyFont="1" applyFill="1" applyBorder="1" applyAlignment="1" applyProtection="1">
      <alignment horizontal="center" vertical="center"/>
    </xf>
    <xf numFmtId="3" fontId="57" fillId="11" borderId="8" xfId="1" applyNumberFormat="1" applyFont="1" applyFill="1" applyBorder="1" applyAlignment="1" applyProtection="1">
      <alignment horizontal="center" vertical="center"/>
    </xf>
    <xf numFmtId="3" fontId="57" fillId="19" borderId="32" xfId="1" applyNumberFormat="1" applyFont="1" applyFill="1" applyBorder="1" applyAlignment="1" applyProtection="1">
      <alignment horizontal="center" vertical="center"/>
    </xf>
    <xf numFmtId="169" fontId="3" fillId="0" borderId="0" xfId="0" applyNumberFormat="1" applyFont="1" applyFill="1" applyBorder="1" applyAlignment="1" applyProtection="1">
      <alignment horizontal="center" vertical="center"/>
    </xf>
    <xf numFmtId="2" fontId="84" fillId="0" borderId="0" xfId="0" applyNumberFormat="1" applyFont="1" applyFill="1" applyBorder="1" applyAlignment="1" applyProtection="1">
      <alignment horizontal="center" vertical="center"/>
    </xf>
    <xf numFmtId="1" fontId="84" fillId="0" borderId="0" xfId="0" applyNumberFormat="1" applyFont="1" applyFill="1" applyBorder="1" applyAlignment="1" applyProtection="1">
      <alignment horizontal="center" vertical="center"/>
    </xf>
    <xf numFmtId="1" fontId="84" fillId="0" borderId="73" xfId="0" applyNumberFormat="1" applyFont="1" applyFill="1" applyBorder="1" applyAlignment="1" applyProtection="1">
      <alignment horizontal="center" vertical="center"/>
    </xf>
    <xf numFmtId="169" fontId="78" fillId="0" borderId="24" xfId="0" applyNumberFormat="1" applyFont="1" applyFill="1" applyBorder="1" applyAlignment="1" applyProtection="1">
      <alignment horizontal="center" vertical="center"/>
    </xf>
    <xf numFmtId="169" fontId="3" fillId="0" borderId="24" xfId="0" applyNumberFormat="1" applyFont="1" applyFill="1" applyBorder="1" applyAlignment="1" applyProtection="1">
      <alignment horizontal="center" vertical="center"/>
    </xf>
    <xf numFmtId="169" fontId="3" fillId="0" borderId="65" xfId="0" applyNumberFormat="1" applyFont="1" applyFill="1" applyBorder="1" applyAlignment="1" applyProtection="1">
      <alignment horizontal="center" vertical="center"/>
    </xf>
    <xf numFmtId="169" fontId="3" fillId="0" borderId="6" xfId="0" applyNumberFormat="1" applyFont="1" applyFill="1" applyBorder="1" applyAlignment="1" applyProtection="1">
      <alignment horizontal="center" vertical="center"/>
    </xf>
    <xf numFmtId="2" fontId="84" fillId="0" borderId="6" xfId="0" applyNumberFormat="1" applyFont="1" applyFill="1" applyBorder="1" applyAlignment="1" applyProtection="1">
      <alignment horizontal="center" vertical="center"/>
    </xf>
    <xf numFmtId="1" fontId="84" fillId="0" borderId="6" xfId="0" applyNumberFormat="1" applyFont="1" applyFill="1" applyBorder="1" applyAlignment="1" applyProtection="1">
      <alignment horizontal="center" vertical="center"/>
    </xf>
    <xf numFmtId="1" fontId="84" fillId="0" borderId="27" xfId="0" applyNumberFormat="1" applyFont="1" applyFill="1" applyBorder="1" applyAlignment="1" applyProtection="1">
      <alignment horizontal="center" vertical="center"/>
    </xf>
    <xf numFmtId="171" fontId="3" fillId="0" borderId="6" xfId="1" applyNumberFormat="1" applyFont="1" applyFill="1" applyBorder="1" applyAlignment="1" applyProtection="1">
      <alignment horizontal="right"/>
    </xf>
    <xf numFmtId="3" fontId="3" fillId="0" borderId="19" xfId="1" applyNumberFormat="1" applyFont="1" applyFill="1" applyBorder="1" applyAlignment="1" applyProtection="1">
      <alignment horizontal="right"/>
    </xf>
    <xf numFmtId="172" fontId="3" fillId="0" borderId="15" xfId="0" applyNumberFormat="1" applyFont="1" applyFill="1" applyBorder="1" applyAlignment="1" applyProtection="1">
      <alignment horizontal="center" vertical="center"/>
    </xf>
    <xf numFmtId="3" fontId="96" fillId="0" borderId="20" xfId="0" applyNumberFormat="1" applyFont="1" applyFill="1" applyBorder="1" applyAlignment="1" applyProtection="1">
      <alignment horizontal="center" vertical="center"/>
      <protection locked="0"/>
    </xf>
    <xf numFmtId="0" fontId="96" fillId="8" borderId="20" xfId="0" applyFont="1" applyFill="1" applyBorder="1" applyAlignment="1" applyProtection="1">
      <alignment horizontal="center" vertical="center"/>
      <protection locked="0"/>
    </xf>
    <xf numFmtId="3" fontId="96" fillId="8" borderId="20" xfId="0" applyNumberFormat="1" applyFont="1" applyFill="1" applyBorder="1" applyAlignment="1" applyProtection="1">
      <alignment horizontal="center" vertical="center"/>
      <protection locked="0"/>
    </xf>
    <xf numFmtId="2" fontId="96" fillId="8" borderId="20" xfId="0" applyNumberFormat="1" applyFont="1" applyFill="1" applyBorder="1" applyAlignment="1" applyProtection="1">
      <alignment horizontal="center" vertical="center"/>
      <protection locked="0"/>
    </xf>
    <xf numFmtId="3" fontId="96" fillId="0" borderId="20" xfId="0" applyNumberFormat="1" applyFont="1" applyFill="1" applyBorder="1" applyAlignment="1" applyProtection="1">
      <alignment horizontal="center" vertical="center"/>
    </xf>
    <xf numFmtId="3" fontId="96" fillId="0" borderId="60" xfId="0" applyNumberFormat="1" applyFont="1" applyFill="1" applyBorder="1" applyAlignment="1" applyProtection="1">
      <alignment horizontal="center" vertical="center"/>
    </xf>
    <xf numFmtId="0" fontId="96" fillId="8" borderId="15" xfId="0" applyFont="1" applyFill="1" applyBorder="1" applyAlignment="1" applyProtection="1">
      <alignment horizontal="center" vertical="center"/>
      <protection locked="0"/>
    </xf>
    <xf numFmtId="3" fontId="96" fillId="8" borderId="15" xfId="0" applyNumberFormat="1" applyFont="1" applyFill="1" applyBorder="1" applyAlignment="1" applyProtection="1">
      <alignment horizontal="center" vertical="center"/>
      <protection locked="0"/>
    </xf>
    <xf numFmtId="3" fontId="96" fillId="0" borderId="15" xfId="0" applyNumberFormat="1" applyFont="1" applyFill="1" applyBorder="1" applyAlignment="1" applyProtection="1">
      <alignment horizontal="center" vertical="center"/>
    </xf>
    <xf numFmtId="2" fontId="96" fillId="8" borderId="15" xfId="0" applyNumberFormat="1" applyFont="1" applyFill="1" applyBorder="1" applyAlignment="1" applyProtection="1">
      <alignment horizontal="center" vertical="center"/>
      <protection locked="0"/>
    </xf>
    <xf numFmtId="3" fontId="96" fillId="0" borderId="62" xfId="0" applyNumberFormat="1" applyFont="1" applyFill="1" applyBorder="1" applyAlignment="1" applyProtection="1">
      <alignment horizontal="center" vertical="center"/>
    </xf>
    <xf numFmtId="0" fontId="96" fillId="8" borderId="31" xfId="0" applyFont="1" applyFill="1" applyBorder="1" applyAlignment="1" applyProtection="1">
      <alignment horizontal="center"/>
      <protection locked="0"/>
    </xf>
    <xf numFmtId="3" fontId="96" fillId="8" borderId="31" xfId="0" applyNumberFormat="1" applyFont="1" applyFill="1" applyBorder="1" applyAlignment="1" applyProtection="1">
      <alignment horizontal="center"/>
      <protection locked="0"/>
    </xf>
    <xf numFmtId="3" fontId="96" fillId="0" borderId="31" xfId="0" applyNumberFormat="1" applyFont="1" applyFill="1" applyBorder="1" applyAlignment="1" applyProtection="1">
      <alignment horizontal="center" vertical="center"/>
    </xf>
    <xf numFmtId="2" fontId="96" fillId="8" borderId="31" xfId="0" applyNumberFormat="1" applyFont="1" applyFill="1" applyBorder="1" applyAlignment="1" applyProtection="1">
      <alignment horizontal="center"/>
      <protection locked="0"/>
    </xf>
    <xf numFmtId="3" fontId="96" fillId="0" borderId="64" xfId="0" applyNumberFormat="1" applyFont="1" applyFill="1" applyBorder="1" applyAlignment="1" applyProtection="1">
      <alignment horizontal="center" vertical="center"/>
    </xf>
    <xf numFmtId="3" fontId="97" fillId="0" borderId="15" xfId="0" applyNumberFormat="1" applyFont="1" applyBorder="1" applyAlignment="1" applyProtection="1">
      <alignment horizontal="center" vertical="center"/>
    </xf>
    <xf numFmtId="4" fontId="97" fillId="0" borderId="15" xfId="0" applyNumberFormat="1" applyFont="1" applyBorder="1" applyAlignment="1" applyProtection="1">
      <alignment horizontal="center" vertical="center"/>
    </xf>
    <xf numFmtId="2" fontId="97" fillId="0" borderId="15" xfId="0" applyNumberFormat="1" applyFont="1" applyBorder="1" applyAlignment="1" applyProtection="1">
      <alignment horizontal="center" vertical="center"/>
    </xf>
    <xf numFmtId="1" fontId="97" fillId="0" borderId="15" xfId="0" applyNumberFormat="1" applyFont="1" applyBorder="1" applyAlignment="1" applyProtection="1">
      <alignment horizontal="center" vertical="center"/>
    </xf>
    <xf numFmtId="1" fontId="97" fillId="0" borderId="62" xfId="0" applyNumberFormat="1" applyFont="1" applyBorder="1" applyAlignment="1" applyProtection="1">
      <alignment horizontal="center" vertical="center"/>
    </xf>
    <xf numFmtId="2" fontId="54" fillId="8" borderId="14" xfId="0" applyNumberFormat="1" applyFont="1" applyFill="1" applyBorder="1" applyAlignment="1" applyProtection="1">
      <alignment horizontal="center" vertical="center"/>
      <protection locked="0"/>
    </xf>
    <xf numFmtId="2" fontId="54" fillId="8" borderId="12" xfId="0" applyNumberFormat="1" applyFont="1" applyFill="1" applyBorder="1" applyAlignment="1" applyProtection="1">
      <alignment horizontal="center" vertical="center"/>
      <protection locked="0"/>
    </xf>
    <xf numFmtId="2" fontId="54" fillId="8" borderId="33" xfId="0" applyNumberFormat="1" applyFont="1" applyFill="1" applyBorder="1" applyAlignment="1" applyProtection="1">
      <alignment horizontal="center" vertical="center"/>
      <protection locked="0"/>
    </xf>
    <xf numFmtId="2" fontId="65" fillId="9" borderId="20" xfId="0" applyNumberFormat="1" applyFont="1" applyFill="1" applyBorder="1" applyAlignment="1" applyProtection="1">
      <alignment horizontal="center" vertical="center"/>
      <protection locked="0"/>
    </xf>
    <xf numFmtId="2" fontId="65" fillId="9" borderId="15" xfId="0" applyNumberFormat="1" applyFont="1" applyFill="1" applyBorder="1" applyAlignment="1" applyProtection="1">
      <alignment horizontal="center" vertical="center"/>
      <protection locked="0"/>
    </xf>
    <xf numFmtId="2" fontId="65" fillId="9" borderId="31" xfId="0" applyNumberFormat="1" applyFont="1" applyFill="1" applyBorder="1" applyAlignment="1" applyProtection="1">
      <alignment horizontal="center" vertical="center"/>
      <protection locked="0"/>
    </xf>
    <xf numFmtId="0" fontId="95" fillId="11" borderId="17" xfId="0" applyFont="1" applyFill="1" applyBorder="1" applyAlignment="1" applyProtection="1">
      <alignment horizontal="center" vertical="center"/>
    </xf>
    <xf numFmtId="0" fontId="5" fillId="0" borderId="89" xfId="0" applyFont="1" applyBorder="1" applyAlignment="1" applyProtection="1">
      <alignment horizontal="right"/>
    </xf>
    <xf numFmtId="0" fontId="5" fillId="0" borderId="90" xfId="0" applyFont="1" applyBorder="1" applyAlignment="1" applyProtection="1">
      <alignment horizontal="right"/>
    </xf>
    <xf numFmtId="0" fontId="57" fillId="0" borderId="57" xfId="0" applyFont="1" applyBorder="1" applyAlignment="1" applyProtection="1">
      <alignment horizontal="center" vertical="center" wrapText="1"/>
    </xf>
    <xf numFmtId="0" fontId="58" fillId="0" borderId="6" xfId="0" applyFont="1" applyBorder="1" applyAlignment="1" applyProtection="1">
      <alignment horizontal="center" vertical="center" wrapText="1"/>
    </xf>
    <xf numFmtId="0" fontId="43" fillId="9" borderId="78" xfId="0" applyFont="1" applyFill="1" applyBorder="1" applyAlignment="1" applyProtection="1">
      <alignment horizontal="center"/>
      <protection locked="0"/>
    </xf>
    <xf numFmtId="0" fontId="5" fillId="0" borderId="67" xfId="0" applyFont="1" applyBorder="1" applyAlignment="1" applyProtection="1">
      <alignment horizontal="right"/>
    </xf>
    <xf numFmtId="0" fontId="5" fillId="0" borderId="15" xfId="0" applyFont="1" applyBorder="1" applyAlignment="1" applyProtection="1">
      <alignment horizontal="right"/>
    </xf>
    <xf numFmtId="0" fontId="5" fillId="0" borderId="77" xfId="0" applyFont="1" applyBorder="1" applyAlignment="1" applyProtection="1">
      <alignment horizontal="right"/>
    </xf>
    <xf numFmtId="0" fontId="5" fillId="0" borderId="78" xfId="0" applyFont="1" applyBorder="1" applyAlignment="1" applyProtection="1">
      <alignment horizontal="right"/>
    </xf>
    <xf numFmtId="0" fontId="53" fillId="9" borderId="15" xfId="0" applyFont="1" applyFill="1" applyBorder="1" applyAlignment="1" applyProtection="1">
      <alignment horizontal="center"/>
      <protection locked="0"/>
    </xf>
    <xf numFmtId="0" fontId="57" fillId="0" borderId="22" xfId="0" applyFont="1" applyFill="1" applyBorder="1" applyAlignment="1" applyProtection="1">
      <alignment horizontal="center" vertical="center" wrapText="1"/>
    </xf>
    <xf numFmtId="0" fontId="57" fillId="0" borderId="33" xfId="0" applyFont="1" applyFill="1" applyBorder="1" applyAlignment="1" applyProtection="1">
      <alignment horizontal="center" vertical="center" wrapText="1"/>
    </xf>
    <xf numFmtId="0" fontId="57" fillId="0" borderId="60" xfId="0" applyFont="1" applyFill="1" applyBorder="1" applyAlignment="1" applyProtection="1">
      <alignment horizontal="center" vertical="center" wrapText="1"/>
    </xf>
    <xf numFmtId="0" fontId="57" fillId="0" borderId="64" xfId="0" applyFont="1" applyFill="1" applyBorder="1" applyAlignment="1" applyProtection="1">
      <alignment horizontal="center" vertical="center" wrapText="1"/>
    </xf>
    <xf numFmtId="0" fontId="70" fillId="0" borderId="86" xfId="0" applyFont="1" applyBorder="1" applyAlignment="1" applyProtection="1">
      <alignment horizontal="center" vertical="center"/>
    </xf>
    <xf numFmtId="0" fontId="70" fillId="0" borderId="3" xfId="0" applyFont="1" applyBorder="1" applyAlignment="1" applyProtection="1">
      <alignment horizontal="center" vertical="center"/>
    </xf>
    <xf numFmtId="0" fontId="58" fillId="0" borderId="46" xfId="0" applyFont="1" applyFill="1" applyBorder="1" applyAlignment="1" applyProtection="1">
      <alignment horizontal="center" vertical="center"/>
    </xf>
    <xf numFmtId="0" fontId="58" fillId="0" borderId="71" xfId="0" applyFont="1" applyFill="1" applyBorder="1" applyAlignment="1" applyProtection="1">
      <alignment horizontal="center" vertical="center"/>
    </xf>
    <xf numFmtId="164" fontId="76" fillId="0" borderId="75" xfId="0" applyNumberFormat="1" applyFont="1" applyFill="1" applyBorder="1" applyAlignment="1" applyProtection="1">
      <alignment horizontal="right" vertical="center"/>
    </xf>
    <xf numFmtId="164" fontId="76" fillId="0" borderId="11" xfId="0" applyNumberFormat="1" applyFont="1" applyFill="1" applyBorder="1" applyAlignment="1" applyProtection="1">
      <alignment horizontal="right" vertical="center"/>
    </xf>
    <xf numFmtId="0" fontId="76" fillId="0" borderId="57" xfId="0" applyFont="1" applyBorder="1" applyAlignment="1" applyProtection="1">
      <alignment horizontal="center" vertical="center"/>
    </xf>
    <xf numFmtId="0" fontId="76" fillId="0" borderId="6" xfId="0" applyFont="1" applyBorder="1" applyAlignment="1" applyProtection="1">
      <alignment horizontal="center" vertical="center"/>
    </xf>
    <xf numFmtId="0" fontId="76" fillId="0" borderId="63" xfId="0" applyFont="1" applyBorder="1" applyAlignment="1" applyProtection="1">
      <alignment horizontal="center" vertical="center"/>
    </xf>
    <xf numFmtId="0" fontId="76" fillId="0" borderId="46" xfId="0" applyFont="1" applyBorder="1" applyAlignment="1" applyProtection="1">
      <alignment horizontal="center" vertical="center"/>
    </xf>
    <xf numFmtId="0" fontId="71" fillId="0" borderId="83" xfId="0" applyFont="1" applyBorder="1" applyAlignment="1" applyProtection="1">
      <alignment horizontal="left" vertical="center"/>
    </xf>
    <xf numFmtId="0" fontId="71" fillId="0" borderId="38" xfId="0" applyFont="1" applyBorder="1" applyAlignment="1" applyProtection="1">
      <alignment horizontal="left" vertical="center"/>
    </xf>
    <xf numFmtId="0" fontId="71" fillId="0" borderId="74" xfId="0" applyFont="1" applyBorder="1" applyAlignment="1" applyProtection="1">
      <alignment horizontal="left" vertical="center"/>
    </xf>
    <xf numFmtId="0" fontId="1" fillId="0" borderId="11" xfId="0" applyFont="1" applyFill="1" applyBorder="1" applyAlignment="1" applyProtection="1">
      <alignment horizontal="center" vertical="center"/>
    </xf>
    <xf numFmtId="0" fontId="1" fillId="0" borderId="76" xfId="0"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58" xfId="0" applyFont="1" applyFill="1" applyBorder="1" applyAlignment="1" applyProtection="1">
      <alignment horizontal="center" vertical="center"/>
    </xf>
    <xf numFmtId="0" fontId="76" fillId="0" borderId="75" xfId="0" applyFont="1" applyBorder="1" applyAlignment="1" applyProtection="1">
      <alignment horizontal="center" vertical="center"/>
    </xf>
    <xf numFmtId="0" fontId="76" fillId="0" borderId="11" xfId="0" applyFont="1" applyBorder="1" applyAlignment="1" applyProtection="1">
      <alignment horizontal="center" vertical="center"/>
    </xf>
    <xf numFmtId="0" fontId="59" fillId="0" borderId="59" xfId="0" applyFont="1" applyFill="1" applyBorder="1" applyAlignment="1" applyProtection="1">
      <alignment horizontal="center" vertical="center" wrapText="1"/>
    </xf>
    <xf numFmtId="0" fontId="59" fillId="0" borderId="61" xfId="0" applyFont="1" applyFill="1" applyBorder="1" applyAlignment="1" applyProtection="1">
      <alignment horizontal="center" vertical="center" wrapText="1"/>
    </xf>
    <xf numFmtId="0" fontId="59" fillId="0" borderId="63" xfId="0" applyFont="1" applyFill="1" applyBorder="1" applyAlignment="1" applyProtection="1">
      <alignment horizontal="center" vertical="center" wrapText="1"/>
    </xf>
    <xf numFmtId="0" fontId="61" fillId="0" borderId="59" xfId="0" applyFont="1" applyFill="1" applyBorder="1" applyAlignment="1" applyProtection="1">
      <alignment horizontal="center" vertical="center" wrapText="1"/>
    </xf>
    <xf numFmtId="0" fontId="61" fillId="0" borderId="61" xfId="0" applyFont="1" applyFill="1" applyBorder="1" applyAlignment="1" applyProtection="1">
      <alignment horizontal="center" vertical="center" wrapText="1"/>
    </xf>
    <xf numFmtId="0" fontId="61" fillId="0" borderId="63" xfId="0" applyFont="1" applyFill="1" applyBorder="1" applyAlignment="1" applyProtection="1">
      <alignment horizontal="center" vertical="center" wrapText="1"/>
    </xf>
    <xf numFmtId="0" fontId="64" fillId="0" borderId="59" xfId="0" applyFont="1" applyFill="1" applyBorder="1" applyAlignment="1" applyProtection="1">
      <alignment horizontal="center" vertical="center" wrapText="1"/>
    </xf>
    <xf numFmtId="0" fontId="64" fillId="0" borderId="61" xfId="0" applyFont="1" applyFill="1" applyBorder="1" applyAlignment="1" applyProtection="1">
      <alignment horizontal="center" vertical="center" wrapText="1"/>
    </xf>
    <xf numFmtId="0" fontId="64" fillId="0" borderId="63" xfId="0" applyFont="1" applyFill="1" applyBorder="1" applyAlignment="1" applyProtection="1">
      <alignment horizontal="center" vertical="center" wrapText="1"/>
    </xf>
    <xf numFmtId="0" fontId="67" fillId="0" borderId="59" xfId="0" applyFont="1" applyFill="1" applyBorder="1" applyAlignment="1" applyProtection="1">
      <alignment horizontal="center" vertical="top" wrapText="1"/>
    </xf>
    <xf numFmtId="0" fontId="67" fillId="0" borderId="61" xfId="0" applyFont="1" applyFill="1" applyBorder="1" applyAlignment="1" applyProtection="1">
      <alignment horizontal="center" vertical="top" wrapText="1"/>
    </xf>
    <xf numFmtId="0" fontId="97" fillId="0" borderId="66" xfId="0" applyFont="1" applyFill="1" applyBorder="1" applyAlignment="1" applyProtection="1">
      <alignment horizontal="center" vertical="center" wrapText="1"/>
    </xf>
    <xf numFmtId="0" fontId="97" fillId="0" borderId="67" xfId="0" applyFont="1" applyFill="1" applyBorder="1" applyAlignment="1" applyProtection="1">
      <alignment horizontal="center" vertical="center" wrapText="1"/>
    </xf>
    <xf numFmtId="0" fontId="97" fillId="0" borderId="68" xfId="0" applyFont="1" applyFill="1" applyBorder="1" applyAlignment="1" applyProtection="1">
      <alignment horizontal="center" vertical="center" wrapText="1"/>
    </xf>
    <xf numFmtId="0" fontId="47" fillId="0" borderId="54" xfId="0" applyFont="1" applyBorder="1" applyAlignment="1" applyProtection="1">
      <alignment horizontal="center" vertical="center" wrapText="1"/>
    </xf>
    <xf numFmtId="0" fontId="47" fillId="0" borderId="55" xfId="0" applyFont="1" applyBorder="1" applyAlignment="1" applyProtection="1">
      <alignment horizontal="center" vertical="center" wrapText="1"/>
    </xf>
    <xf numFmtId="0" fontId="47" fillId="0" borderId="56" xfId="0" applyFont="1" applyBorder="1" applyAlignment="1" applyProtection="1">
      <alignment horizontal="center" vertical="center" wrapText="1"/>
    </xf>
    <xf numFmtId="0" fontId="47" fillId="0" borderId="93" xfId="0" applyFont="1" applyBorder="1" applyAlignment="1" applyProtection="1">
      <alignment horizontal="center" vertical="center" wrapText="1"/>
    </xf>
    <xf numFmtId="0" fontId="47" fillId="0" borderId="95" xfId="0" applyFont="1" applyBorder="1" applyAlignment="1" applyProtection="1">
      <alignment horizontal="center" vertical="center" wrapText="1"/>
    </xf>
    <xf numFmtId="0" fontId="47" fillId="0" borderId="97" xfId="0" applyFont="1" applyBorder="1" applyAlignment="1" applyProtection="1">
      <alignment horizontal="center" vertical="center" wrapText="1"/>
    </xf>
    <xf numFmtId="0" fontId="62" fillId="0" borderId="24" xfId="0" applyFont="1" applyFill="1" applyBorder="1" applyAlignment="1" applyProtection="1">
      <alignment horizontal="center" vertical="center"/>
    </xf>
    <xf numFmtId="0" fontId="62" fillId="0" borderId="65" xfId="0" applyFont="1" applyFill="1" applyBorder="1" applyAlignment="1" applyProtection="1">
      <alignment horizontal="center" vertical="center"/>
    </xf>
    <xf numFmtId="0" fontId="70" fillId="0" borderId="72" xfId="0" applyFont="1" applyBorder="1" applyAlignment="1" applyProtection="1">
      <alignment horizontal="left" vertical="center"/>
    </xf>
    <xf numFmtId="0" fontId="70" fillId="0" borderId="0" xfId="0" applyFont="1" applyBorder="1" applyAlignment="1" applyProtection="1">
      <alignment horizontal="left" vertical="center"/>
    </xf>
    <xf numFmtId="0" fontId="70" fillId="0" borderId="73" xfId="0" applyFont="1" applyBorder="1" applyAlignment="1" applyProtection="1">
      <alignment horizontal="left" vertical="center"/>
    </xf>
    <xf numFmtId="0" fontId="57" fillId="0" borderId="63" xfId="0" applyFont="1" applyBorder="1" applyAlignment="1" applyProtection="1">
      <alignment horizontal="right" vertical="center"/>
    </xf>
    <xf numFmtId="0" fontId="58" fillId="0" borderId="46" xfId="0" applyFont="1" applyBorder="1" applyAlignment="1" applyProtection="1">
      <alignment horizontal="right"/>
    </xf>
    <xf numFmtId="0" fontId="8" fillId="0" borderId="0" xfId="0" applyFont="1" applyBorder="1" applyAlignment="1" applyProtection="1">
      <alignment horizontal="center" vertical="center"/>
    </xf>
    <xf numFmtId="0" fontId="56" fillId="8" borderId="90" xfId="0" applyFont="1" applyFill="1" applyBorder="1" applyAlignment="1" applyProtection="1">
      <alignment horizontal="center"/>
      <protection locked="0"/>
    </xf>
    <xf numFmtId="0" fontId="74" fillId="0" borderId="67" xfId="0" applyFont="1" applyBorder="1" applyAlignment="1" applyProtection="1">
      <alignment horizontal="right" vertical="center"/>
    </xf>
    <xf numFmtId="0" fontId="74" fillId="0" borderId="15" xfId="0" applyFont="1" applyBorder="1" applyAlignment="1" applyProtection="1">
      <alignment horizontal="right" vertical="center"/>
    </xf>
    <xf numFmtId="0" fontId="97" fillId="0" borderId="67" xfId="0" applyFont="1" applyBorder="1" applyAlignment="1" applyProtection="1">
      <alignment horizontal="right" vertical="center"/>
    </xf>
    <xf numFmtId="0" fontId="97" fillId="0" borderId="15" xfId="0" applyFont="1" applyBorder="1" applyAlignment="1" applyProtection="1">
      <alignment horizontal="right" vertical="center"/>
    </xf>
    <xf numFmtId="0" fontId="76" fillId="0" borderId="66" xfId="0" applyFont="1" applyBorder="1" applyAlignment="1" applyProtection="1">
      <alignment horizontal="right" vertical="center"/>
    </xf>
    <xf numFmtId="0" fontId="76" fillId="0" borderId="20" xfId="0" applyFont="1" applyBorder="1" applyAlignment="1" applyProtection="1">
      <alignment horizontal="right" vertical="center"/>
    </xf>
    <xf numFmtId="0" fontId="70" fillId="0" borderId="86" xfId="0" applyFont="1" applyBorder="1" applyAlignment="1" applyProtection="1">
      <alignment horizontal="left" vertical="center"/>
    </xf>
    <xf numFmtId="0" fontId="70" fillId="0" borderId="4" xfId="0" applyFont="1" applyBorder="1" applyAlignment="1" applyProtection="1">
      <alignment horizontal="left" vertical="center"/>
    </xf>
    <xf numFmtId="0" fontId="70" fillId="0" borderId="88" xfId="0" applyFont="1" applyBorder="1" applyAlignment="1" applyProtection="1">
      <alignment horizontal="left" vertical="center"/>
    </xf>
    <xf numFmtId="0" fontId="93" fillId="0" borderId="67" xfId="0" applyFont="1" applyFill="1" applyBorder="1" applyAlignment="1" applyProtection="1">
      <alignment horizontal="right" vertical="center"/>
    </xf>
    <xf numFmtId="0" fontId="93" fillId="0" borderId="15" xfId="0" applyFont="1" applyFill="1" applyBorder="1" applyAlignment="1" applyProtection="1">
      <alignment horizontal="right" vertical="center"/>
    </xf>
    <xf numFmtId="0" fontId="72" fillId="0" borderId="67" xfId="0" applyFont="1" applyBorder="1" applyAlignment="1" applyProtection="1">
      <alignment horizontal="right" vertical="center"/>
    </xf>
    <xf numFmtId="0" fontId="72" fillId="0" borderId="15" xfId="0" applyFont="1" applyBorder="1" applyAlignment="1" applyProtection="1">
      <alignment horizontal="right" vertical="center"/>
    </xf>
    <xf numFmtId="0" fontId="59" fillId="0" borderId="66" xfId="0" applyFont="1" applyBorder="1" applyAlignment="1" applyProtection="1">
      <alignment horizontal="right" vertical="center"/>
    </xf>
    <xf numFmtId="0" fontId="59" fillId="0" borderId="20" xfId="0" applyFont="1" applyBorder="1" applyAlignment="1" applyProtection="1">
      <alignment horizontal="right" vertical="center"/>
    </xf>
    <xf numFmtId="14" fontId="9" fillId="0" borderId="15" xfId="0" applyNumberFormat="1" applyFont="1" applyBorder="1" applyAlignment="1" applyProtection="1">
      <alignment horizontal="center"/>
    </xf>
    <xf numFmtId="14" fontId="9" fillId="0" borderId="62" xfId="0" applyNumberFormat="1" applyFont="1" applyBorder="1" applyAlignment="1" applyProtection="1">
      <alignment horizontal="center"/>
    </xf>
    <xf numFmtId="0" fontId="30" fillId="9" borderId="78" xfId="0" applyFont="1" applyFill="1" applyBorder="1" applyAlignment="1" applyProtection="1">
      <alignment horizontal="center"/>
      <protection locked="0"/>
    </xf>
    <xf numFmtId="0" fontId="30" fillId="9" borderId="79" xfId="0" applyFont="1" applyFill="1" applyBorder="1" applyAlignment="1" applyProtection="1">
      <alignment horizontal="center"/>
      <protection locked="0"/>
    </xf>
    <xf numFmtId="0" fontId="1" fillId="0" borderId="15" xfId="0" quotePrefix="1" applyFont="1" applyFill="1" applyBorder="1" applyAlignment="1" applyProtection="1">
      <alignment horizontal="center" vertical="center"/>
    </xf>
    <xf numFmtId="0" fontId="1" fillId="0" borderId="62" xfId="0" applyFont="1" applyFill="1" applyBorder="1" applyAlignment="1" applyProtection="1">
      <alignment horizontal="center" vertical="center"/>
    </xf>
    <xf numFmtId="0" fontId="58" fillId="0" borderId="78" xfId="0" applyFont="1" applyFill="1" applyBorder="1" applyAlignment="1" applyProtection="1">
      <alignment horizontal="center" vertical="center"/>
    </xf>
    <xf numFmtId="0" fontId="58" fillId="0" borderId="79" xfId="0" applyFont="1" applyFill="1" applyBorder="1" applyAlignment="1" applyProtection="1">
      <alignment horizontal="center" vertical="center"/>
    </xf>
    <xf numFmtId="0" fontId="76" fillId="0" borderId="67" xfId="0" applyFont="1" applyBorder="1" applyAlignment="1" applyProtection="1">
      <alignment horizontal="right" vertical="center"/>
    </xf>
    <xf numFmtId="0" fontId="58" fillId="0" borderId="15" xfId="0" applyFont="1" applyBorder="1" applyAlignment="1" applyProtection="1">
      <alignment horizontal="right" vertical="center"/>
    </xf>
    <xf numFmtId="0" fontId="76" fillId="0" borderId="77" xfId="0" applyFont="1" applyBorder="1" applyAlignment="1" applyProtection="1">
      <alignment horizontal="right" vertical="center"/>
    </xf>
    <xf numFmtId="0" fontId="76" fillId="0" borderId="78" xfId="0" applyFont="1" applyBorder="1" applyAlignment="1" applyProtection="1">
      <alignment horizontal="right" vertical="center"/>
    </xf>
    <xf numFmtId="0" fontId="72" fillId="0" borderId="69" xfId="0" applyFont="1" applyFill="1" applyBorder="1" applyAlignment="1" applyProtection="1">
      <alignment horizontal="left" vertical="center" wrapText="1"/>
    </xf>
    <xf numFmtId="0" fontId="58" fillId="0" borderId="39" xfId="0" applyFont="1" applyBorder="1" applyAlignment="1" applyProtection="1">
      <alignment horizontal="left" wrapText="1"/>
    </xf>
    <xf numFmtId="0" fontId="58" fillId="0" borderId="72" xfId="0" applyFont="1" applyBorder="1" applyAlignment="1" applyProtection="1">
      <alignment horizontal="left" wrapText="1"/>
    </xf>
    <xf numFmtId="0" fontId="58" fillId="0" borderId="9" xfId="0" applyFont="1" applyBorder="1" applyAlignment="1" applyProtection="1">
      <alignment horizontal="left" wrapText="1"/>
    </xf>
    <xf numFmtId="2" fontId="62" fillId="0" borderId="9" xfId="0" applyNumberFormat="1" applyFont="1" applyFill="1" applyBorder="1" applyAlignment="1" applyProtection="1">
      <alignment horizontal="center" vertical="center"/>
    </xf>
    <xf numFmtId="0" fontId="58" fillId="0" borderId="94" xfId="0" applyFont="1" applyBorder="1" applyAlignment="1" applyProtection="1"/>
    <xf numFmtId="0" fontId="79" fillId="0" borderId="34" xfId="0" applyFont="1" applyBorder="1" applyAlignment="1" applyProtection="1">
      <alignment horizontal="center" vertical="center"/>
    </xf>
    <xf numFmtId="0" fontId="79" fillId="0" borderId="35" xfId="0" applyFont="1" applyBorder="1" applyAlignment="1" applyProtection="1">
      <alignment horizontal="center" vertical="center"/>
    </xf>
    <xf numFmtId="0" fontId="79" fillId="0" borderId="70" xfId="0" applyFont="1" applyBorder="1" applyAlignment="1" applyProtection="1">
      <alignment horizontal="center" vertical="center"/>
    </xf>
    <xf numFmtId="0" fontId="76" fillId="0" borderId="15" xfId="0" applyFont="1" applyBorder="1" applyAlignment="1" applyProtection="1">
      <alignment horizontal="right" vertical="center"/>
    </xf>
    <xf numFmtId="164" fontId="78" fillId="0" borderId="67" xfId="0" applyNumberFormat="1" applyFont="1" applyFill="1" applyBorder="1" applyAlignment="1" applyProtection="1">
      <alignment horizontal="right" vertical="center"/>
    </xf>
    <xf numFmtId="164" fontId="78" fillId="0" borderId="15" xfId="0" applyNumberFormat="1" applyFont="1" applyFill="1" applyBorder="1" applyAlignment="1" applyProtection="1">
      <alignment horizontal="right" vertical="center"/>
    </xf>
    <xf numFmtId="164" fontId="78" fillId="0" borderId="77" xfId="0" applyNumberFormat="1" applyFont="1" applyFill="1" applyBorder="1" applyAlignment="1" applyProtection="1">
      <alignment horizontal="right" vertical="center"/>
    </xf>
    <xf numFmtId="164" fontId="78" fillId="0" borderId="78" xfId="0" applyNumberFormat="1" applyFont="1" applyFill="1" applyBorder="1" applyAlignment="1" applyProtection="1">
      <alignment horizontal="right" vertical="center"/>
    </xf>
    <xf numFmtId="0" fontId="58" fillId="8" borderId="2" xfId="0" applyFont="1" applyFill="1" applyBorder="1" applyAlignment="1" applyProtection="1">
      <alignment horizontal="center" vertical="top" wrapText="1"/>
      <protection locked="0"/>
    </xf>
    <xf numFmtId="0" fontId="58" fillId="8" borderId="0" xfId="0" applyFont="1" applyFill="1" applyBorder="1" applyAlignment="1" applyProtection="1">
      <alignment horizontal="center" vertical="top" wrapText="1"/>
      <protection locked="0"/>
    </xf>
    <xf numFmtId="0" fontId="58" fillId="8" borderId="73" xfId="0" applyFont="1" applyFill="1" applyBorder="1" applyAlignment="1" applyProtection="1">
      <alignment horizontal="center" vertical="top" wrapText="1"/>
      <protection locked="0"/>
    </xf>
    <xf numFmtId="0" fontId="58" fillId="8" borderId="96" xfId="0" applyFont="1" applyFill="1" applyBorder="1" applyAlignment="1" applyProtection="1">
      <alignment horizontal="center" vertical="top" wrapText="1"/>
      <protection locked="0"/>
    </xf>
    <xf numFmtId="0" fontId="58" fillId="8" borderId="95" xfId="0" applyFont="1" applyFill="1" applyBorder="1" applyAlignment="1" applyProtection="1">
      <alignment horizontal="center" vertical="top" wrapText="1"/>
      <protection locked="0"/>
    </xf>
    <xf numFmtId="0" fontId="58" fillId="8" borderId="97" xfId="0" applyFont="1" applyFill="1" applyBorder="1" applyAlignment="1" applyProtection="1">
      <alignment horizontal="center" vertical="top" wrapText="1"/>
      <protection locked="0"/>
    </xf>
    <xf numFmtId="0" fontId="76" fillId="0" borderId="98" xfId="0" applyFont="1" applyFill="1" applyBorder="1" applyAlignment="1" applyProtection="1">
      <alignment horizontal="center" vertical="center"/>
    </xf>
    <xf numFmtId="0" fontId="76" fillId="0" borderId="99" xfId="0" applyFont="1" applyFill="1" applyBorder="1" applyAlignment="1" applyProtection="1">
      <alignment horizontal="center" vertical="center"/>
    </xf>
    <xf numFmtId="0" fontId="62" fillId="0" borderId="47" xfId="0" applyFont="1" applyFill="1" applyBorder="1" applyAlignment="1" applyProtection="1">
      <alignment horizontal="center" vertical="center" wrapText="1"/>
    </xf>
    <xf numFmtId="0" fontId="62" fillId="0" borderId="48" xfId="0" applyFont="1" applyFill="1" applyBorder="1" applyAlignment="1" applyProtection="1">
      <alignment horizontal="center" vertical="center" wrapText="1"/>
    </xf>
    <xf numFmtId="0" fontId="62" fillId="0" borderId="84" xfId="0" applyFont="1" applyFill="1" applyBorder="1" applyAlignment="1" applyProtection="1">
      <alignment horizontal="center" vertical="center" wrapText="1"/>
    </xf>
    <xf numFmtId="0" fontId="62" fillId="0" borderId="43" xfId="0" applyFont="1" applyFill="1" applyBorder="1" applyAlignment="1" applyProtection="1">
      <alignment horizontal="center" vertical="center" wrapText="1"/>
    </xf>
    <xf numFmtId="0" fontId="55" fillId="9" borderId="7" xfId="0" applyFont="1" applyFill="1" applyBorder="1" applyAlignment="1" applyProtection="1">
      <alignment horizontal="center" vertical="center"/>
      <protection locked="0"/>
    </xf>
    <xf numFmtId="0" fontId="55" fillId="9" borderId="11" xfId="0" applyFont="1" applyFill="1" applyBorder="1" applyAlignment="1" applyProtection="1">
      <alignment horizontal="center" vertical="center"/>
      <protection locked="0"/>
    </xf>
    <xf numFmtId="0" fontId="76" fillId="0" borderId="118" xfId="0" applyFont="1" applyBorder="1" applyAlignment="1" applyProtection="1">
      <alignment horizontal="right" vertical="center"/>
    </xf>
    <xf numFmtId="0" fontId="76" fillId="0" borderId="49" xfId="0" applyFont="1" applyBorder="1" applyAlignment="1" applyProtection="1">
      <alignment horizontal="right" vertical="center"/>
    </xf>
    <xf numFmtId="0" fontId="57" fillId="0" borderId="33" xfId="0" applyFont="1" applyBorder="1" applyAlignment="1" applyProtection="1">
      <alignment horizontal="right" vertical="center"/>
    </xf>
    <xf numFmtId="0" fontId="58" fillId="0" borderId="31" xfId="0" applyFont="1" applyBorder="1" applyAlignment="1" applyProtection="1">
      <alignment horizontal="right"/>
    </xf>
    <xf numFmtId="0" fontId="57" fillId="0" borderId="5" xfId="0" applyFont="1" applyBorder="1" applyAlignment="1" applyProtection="1">
      <alignment horizontal="right" vertical="center"/>
    </xf>
    <xf numFmtId="0" fontId="58" fillId="0" borderId="7" xfId="0" applyFont="1" applyBorder="1" applyAlignment="1" applyProtection="1">
      <alignment horizontal="right"/>
    </xf>
    <xf numFmtId="164" fontId="78" fillId="0" borderId="68" xfId="0" applyNumberFormat="1" applyFont="1" applyFill="1" applyBorder="1" applyAlignment="1" applyProtection="1">
      <alignment horizontal="right" vertical="center"/>
    </xf>
    <xf numFmtId="164" fontId="78" fillId="0" borderId="31" xfId="0" applyNumberFormat="1" applyFont="1" applyFill="1" applyBorder="1" applyAlignment="1" applyProtection="1">
      <alignment horizontal="right" vertical="center"/>
    </xf>
    <xf numFmtId="164" fontId="6" fillId="11" borderId="7" xfId="0" applyNumberFormat="1" applyFont="1" applyFill="1" applyBorder="1" applyAlignment="1" applyProtection="1">
      <alignment horizontal="center" vertical="center" wrapText="1"/>
    </xf>
    <xf numFmtId="164" fontId="6" fillId="11" borderId="46" xfId="0" applyNumberFormat="1"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3" fontId="11" fillId="11" borderId="21" xfId="0" applyNumberFormat="1" applyFont="1" applyFill="1" applyBorder="1" applyAlignment="1" applyProtection="1">
      <alignment horizontal="center" vertical="center" wrapText="1"/>
    </xf>
    <xf numFmtId="3" fontId="11" fillId="11" borderId="32" xfId="0" applyNumberFormat="1" applyFont="1" applyFill="1" applyBorder="1" applyAlignment="1" applyProtection="1">
      <alignment horizontal="center" vertical="center" wrapText="1"/>
    </xf>
    <xf numFmtId="3" fontId="11" fillId="11" borderId="22" xfId="0" applyNumberFormat="1" applyFont="1" applyFill="1" applyBorder="1" applyAlignment="1" applyProtection="1">
      <alignment horizontal="center" vertical="center" wrapText="1"/>
    </xf>
    <xf numFmtId="3" fontId="11" fillId="11" borderId="33" xfId="0" applyNumberFormat="1" applyFont="1" applyFill="1" applyBorder="1" applyAlignment="1" applyProtection="1">
      <alignment horizontal="center" vertical="center" wrapText="1"/>
    </xf>
    <xf numFmtId="3" fontId="11" fillId="11" borderId="20" xfId="0" applyNumberFormat="1" applyFont="1" applyFill="1" applyBorder="1" applyAlignment="1" applyProtection="1">
      <alignment horizontal="center" vertical="center" wrapText="1"/>
    </xf>
    <xf numFmtId="3" fontId="11" fillId="11" borderId="31" xfId="0" applyNumberFormat="1" applyFont="1" applyFill="1" applyBorder="1" applyAlignment="1" applyProtection="1">
      <alignment horizontal="center" vertical="center" wrapText="1"/>
    </xf>
    <xf numFmtId="4" fontId="11" fillId="11" borderId="20" xfId="0" applyNumberFormat="1" applyFont="1" applyFill="1" applyBorder="1" applyAlignment="1" applyProtection="1">
      <alignment horizontal="center" vertical="center"/>
    </xf>
    <xf numFmtId="4" fontId="11" fillId="11" borderId="31" xfId="0" applyNumberFormat="1" applyFont="1" applyFill="1" applyBorder="1" applyAlignment="1" applyProtection="1">
      <alignment horizontal="center" vertical="center"/>
    </xf>
    <xf numFmtId="4" fontId="11" fillId="11" borderId="20" xfId="0" applyNumberFormat="1" applyFont="1" applyFill="1" applyBorder="1" applyAlignment="1" applyProtection="1">
      <alignment horizontal="center" vertical="center" wrapText="1"/>
    </xf>
    <xf numFmtId="4" fontId="11" fillId="11" borderId="31" xfId="0" applyNumberFormat="1" applyFont="1" applyFill="1" applyBorder="1" applyAlignment="1" applyProtection="1">
      <alignment horizontal="center" vertical="center" wrapText="1"/>
    </xf>
    <xf numFmtId="3" fontId="11" fillId="11" borderId="20" xfId="0" applyNumberFormat="1" applyFont="1" applyFill="1" applyBorder="1" applyAlignment="1" applyProtection="1">
      <alignment horizontal="center" vertical="center"/>
    </xf>
    <xf numFmtId="3" fontId="11" fillId="11" borderId="31" xfId="0" applyNumberFormat="1" applyFont="1" applyFill="1" applyBorder="1" applyAlignment="1" applyProtection="1">
      <alignment horizontal="center" vertical="center"/>
    </xf>
    <xf numFmtId="3" fontId="11" fillId="11" borderId="22" xfId="0" applyNumberFormat="1" applyFont="1" applyFill="1" applyBorder="1" applyAlignment="1" applyProtection="1">
      <alignment vertical="center" wrapText="1"/>
    </xf>
    <xf numFmtId="3" fontId="11" fillId="11" borderId="33" xfId="0" applyNumberFormat="1" applyFont="1" applyFill="1" applyBorder="1" applyAlignment="1" applyProtection="1">
      <alignment vertical="center" wrapText="1"/>
    </xf>
    <xf numFmtId="164" fontId="6" fillId="2" borderId="8" xfId="0" applyNumberFormat="1" applyFont="1" applyFill="1" applyBorder="1" applyAlignment="1" applyProtection="1">
      <alignment horizontal="center" vertical="center" wrapText="1"/>
    </xf>
    <xf numFmtId="164" fontId="6" fillId="2" borderId="19" xfId="0" applyNumberFormat="1"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34" xfId="0" applyFont="1" applyFill="1" applyBorder="1" applyAlignment="1" applyProtection="1">
      <alignment horizontal="left" vertical="center"/>
    </xf>
    <xf numFmtId="0" fontId="6" fillId="0" borderId="35" xfId="0" applyFont="1" applyFill="1" applyBorder="1" applyAlignment="1" applyProtection="1">
      <alignment horizontal="left" vertical="center"/>
    </xf>
    <xf numFmtId="0" fontId="6" fillId="0" borderId="39" xfId="0" applyFont="1" applyFill="1" applyBorder="1" applyAlignment="1" applyProtection="1">
      <alignment horizontal="left" vertical="center"/>
    </xf>
    <xf numFmtId="164" fontId="1" fillId="2" borderId="22" xfId="0" applyNumberFormat="1" applyFont="1" applyFill="1" applyBorder="1" applyAlignment="1" applyProtection="1">
      <alignment horizontal="center" vertical="center"/>
    </xf>
    <xf numFmtId="0" fontId="1" fillId="0" borderId="20" xfId="0" applyFont="1" applyBorder="1" applyAlignment="1" applyProtection="1">
      <alignment horizontal="center"/>
    </xf>
    <xf numFmtId="3" fontId="11" fillId="11" borderId="21" xfId="0" applyNumberFormat="1" applyFont="1" applyFill="1" applyBorder="1" applyAlignment="1" applyProtection="1">
      <alignment horizontal="center" vertical="center"/>
    </xf>
    <xf numFmtId="3" fontId="11" fillId="11" borderId="32" xfId="0" applyNumberFormat="1" applyFont="1" applyFill="1" applyBorder="1" applyAlignment="1" applyProtection="1">
      <alignment horizontal="center" vertical="center"/>
    </xf>
    <xf numFmtId="0" fontId="6" fillId="0" borderId="34" xfId="0" applyFont="1" applyBorder="1" applyAlignment="1" applyProtection="1">
      <alignment horizontal="left" vertical="center"/>
    </xf>
    <xf numFmtId="0" fontId="6" fillId="0" borderId="35" xfId="0" applyFont="1" applyBorder="1" applyAlignment="1" applyProtection="1">
      <alignment horizontal="left" vertical="center"/>
    </xf>
    <xf numFmtId="164" fontId="6" fillId="2" borderId="7" xfId="0" applyNumberFormat="1" applyFont="1" applyFill="1" applyBorder="1" applyAlignment="1" applyProtection="1">
      <alignment horizontal="center" vertical="center" wrapText="1"/>
    </xf>
    <xf numFmtId="164" fontId="6" fillId="2" borderId="46" xfId="0" applyNumberFormat="1" applyFont="1" applyFill="1" applyBorder="1" applyAlignment="1" applyProtection="1">
      <alignment horizontal="center" vertical="center" wrapText="1"/>
    </xf>
    <xf numFmtId="0" fontId="2" fillId="0" borderId="22"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2" fillId="0" borderId="21" xfId="0" applyFont="1" applyBorder="1" applyAlignment="1" applyProtection="1">
      <alignment horizontal="center" vertical="top" wrapText="1"/>
    </xf>
    <xf numFmtId="0" fontId="2" fillId="0" borderId="25" xfId="0" applyFont="1" applyBorder="1" applyAlignment="1" applyProtection="1">
      <alignment horizontal="center" vertical="top" wrapText="1"/>
    </xf>
    <xf numFmtId="2" fontId="49" fillId="0" borderId="15" xfId="0" applyNumberFormat="1" applyFont="1" applyFill="1" applyBorder="1" applyAlignment="1" applyProtection="1">
      <alignment horizontal="center" vertical="center"/>
    </xf>
    <xf numFmtId="2" fontId="49" fillId="0" borderId="25" xfId="0" applyNumberFormat="1" applyFont="1" applyFill="1" applyBorder="1" applyAlignment="1" applyProtection="1">
      <alignment horizontal="center" vertical="center"/>
    </xf>
    <xf numFmtId="2" fontId="49" fillId="0" borderId="31" xfId="0" applyNumberFormat="1" applyFont="1" applyFill="1" applyBorder="1" applyAlignment="1" applyProtection="1">
      <alignment horizontal="center" vertical="center"/>
    </xf>
    <xf numFmtId="2" fontId="49" fillId="0" borderId="32" xfId="0" applyNumberFormat="1"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0" borderId="15" xfId="0" applyFont="1" applyBorder="1" applyAlignment="1" applyProtection="1">
      <alignment horizontal="center"/>
    </xf>
    <xf numFmtId="164" fontId="1" fillId="2" borderId="22" xfId="0" applyNumberFormat="1" applyFont="1" applyFill="1" applyBorder="1" applyAlignment="1" applyProtection="1">
      <alignment horizontal="center" vertical="center" wrapText="1"/>
    </xf>
    <xf numFmtId="164" fontId="1" fillId="2" borderId="14" xfId="0" applyNumberFormat="1"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1" fillId="2" borderId="81" xfId="0"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wrapText="1"/>
    </xf>
    <xf numFmtId="164" fontId="1" fillId="2" borderId="21" xfId="0" applyNumberFormat="1" applyFont="1" applyFill="1" applyBorder="1" applyAlignment="1" applyProtection="1">
      <alignment horizontal="center" vertical="center" wrapText="1"/>
    </xf>
    <xf numFmtId="164" fontId="1" fillId="2" borderId="25" xfId="0" applyNumberFormat="1" applyFont="1" applyFill="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2" fillId="3" borderId="101" xfId="0" applyFont="1" applyFill="1" applyBorder="1" applyAlignment="1" applyProtection="1">
      <alignment horizontal="center" vertical="center" wrapText="1"/>
    </xf>
    <xf numFmtId="0" fontId="0" fillId="0" borderId="107" xfId="0"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164" fontId="2" fillId="3" borderId="7" xfId="0" applyNumberFormat="1"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4" borderId="39" xfId="0" applyFont="1" applyFill="1" applyBorder="1" applyAlignment="1" applyProtection="1">
      <alignment horizontal="center" vertical="center" wrapText="1"/>
    </xf>
    <xf numFmtId="0" fontId="2" fillId="13" borderId="102" xfId="0" applyFont="1" applyFill="1" applyBorder="1" applyAlignment="1" applyProtection="1">
      <alignment horizontal="center" vertical="center" wrapText="1"/>
    </xf>
    <xf numFmtId="0" fontId="2" fillId="13" borderId="90" xfId="0" applyFont="1" applyFill="1" applyBorder="1" applyAlignment="1" applyProtection="1">
      <alignment horizontal="center" vertical="center" wrapText="1"/>
    </xf>
    <xf numFmtId="0" fontId="2" fillId="13" borderId="103" xfId="0" applyFont="1" applyFill="1" applyBorder="1" applyAlignment="1" applyProtection="1">
      <alignment horizontal="center" vertical="center" wrapText="1"/>
    </xf>
    <xf numFmtId="0" fontId="2" fillId="3" borderId="102" xfId="0" applyFont="1" applyFill="1" applyBorder="1" applyAlignment="1" applyProtection="1">
      <alignment horizontal="center" vertical="center" wrapText="1"/>
    </xf>
    <xf numFmtId="0" fontId="2" fillId="3" borderId="90" xfId="0" applyFont="1" applyFill="1" applyBorder="1" applyAlignment="1" applyProtection="1">
      <alignment horizontal="center" vertical="center" wrapText="1"/>
    </xf>
    <xf numFmtId="0" fontId="2" fillId="3" borderId="103" xfId="0" applyFont="1" applyFill="1" applyBorder="1" applyAlignment="1" applyProtection="1">
      <alignment horizontal="center" vertical="center" wrapText="1"/>
    </xf>
    <xf numFmtId="0" fontId="38" fillId="0" borderId="14" xfId="0" applyFont="1" applyBorder="1" applyAlignment="1" applyProtection="1">
      <alignment horizontal="center" wrapText="1"/>
    </xf>
    <xf numFmtId="0" fontId="38" fillId="0" borderId="25" xfId="0" applyFont="1" applyBorder="1" applyAlignment="1" applyProtection="1">
      <alignment horizontal="center" wrapText="1"/>
    </xf>
    <xf numFmtId="0" fontId="2" fillId="0" borderId="22"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14" borderId="15" xfId="0" applyFont="1" applyFill="1" applyBorder="1" applyAlignment="1" applyProtection="1">
      <alignment horizontal="center" vertical="center" wrapText="1"/>
    </xf>
    <xf numFmtId="0" fontId="2" fillId="0" borderId="67"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14" borderId="102" xfId="0" applyFont="1" applyFill="1" applyBorder="1" applyAlignment="1" applyProtection="1">
      <alignment horizontal="center" vertical="center" wrapText="1"/>
    </xf>
    <xf numFmtId="0" fontId="2" fillId="14" borderId="90" xfId="0" applyFont="1" applyFill="1" applyBorder="1" applyAlignment="1" applyProtection="1">
      <alignment horizontal="center" vertical="center" wrapText="1"/>
    </xf>
    <xf numFmtId="0" fontId="2" fillId="14" borderId="106" xfId="0" applyFont="1" applyFill="1" applyBorder="1" applyAlignment="1" applyProtection="1">
      <alignment horizontal="center" vertical="center" wrapText="1"/>
    </xf>
    <xf numFmtId="0" fontId="2" fillId="0" borderId="60" xfId="0" applyFont="1" applyBorder="1" applyAlignment="1" applyProtection="1">
      <alignment horizontal="center" vertical="top" wrapText="1"/>
    </xf>
    <xf numFmtId="0" fontId="2" fillId="0" borderId="62" xfId="0" applyFont="1" applyBorder="1" applyAlignment="1" applyProtection="1">
      <alignment horizontal="center" vertical="top" wrapText="1"/>
    </xf>
    <xf numFmtId="0" fontId="2" fillId="15" borderId="15" xfId="0" applyFont="1" applyFill="1" applyBorder="1" applyAlignment="1" applyProtection="1">
      <alignment horizontal="center" vertical="center" wrapText="1"/>
    </xf>
    <xf numFmtId="0" fontId="1" fillId="15" borderId="15" xfId="0" applyFont="1" applyFill="1" applyBorder="1" applyAlignment="1" applyProtection="1">
      <alignment horizontal="center" wrapText="1"/>
    </xf>
    <xf numFmtId="0" fontId="2" fillId="15" borderId="15" xfId="0" applyFont="1" applyFill="1" applyBorder="1" applyAlignment="1" applyProtection="1">
      <alignment horizontal="center" wrapText="1"/>
    </xf>
    <xf numFmtId="0" fontId="38" fillId="15" borderId="15" xfId="0" applyFont="1" applyFill="1" applyBorder="1" applyAlignment="1" applyProtection="1">
      <alignment horizontal="center" wrapText="1"/>
    </xf>
    <xf numFmtId="0" fontId="25" fillId="15" borderId="15" xfId="0" applyFont="1" applyFill="1" applyBorder="1" applyAlignment="1" applyProtection="1">
      <alignment horizontal="center" wrapText="1"/>
    </xf>
    <xf numFmtId="0" fontId="2" fillId="14" borderId="24" xfId="0" applyFont="1" applyFill="1" applyBorder="1" applyAlignment="1" applyProtection="1">
      <alignment horizontal="center" vertical="center"/>
    </xf>
    <xf numFmtId="0" fontId="2" fillId="14" borderId="11" xfId="0" applyFont="1" applyFill="1" applyBorder="1" applyAlignment="1" applyProtection="1">
      <alignment horizontal="center" vertical="center"/>
    </xf>
    <xf numFmtId="0" fontId="2" fillId="14" borderId="80" xfId="0" applyFont="1" applyFill="1" applyBorder="1" applyAlignment="1" applyProtection="1">
      <alignment horizontal="center" vertical="center"/>
    </xf>
    <xf numFmtId="0" fontId="2" fillId="14" borderId="84" xfId="0" applyFont="1" applyFill="1" applyBorder="1" applyAlignment="1" applyProtection="1">
      <alignment horizontal="center" vertical="center"/>
    </xf>
    <xf numFmtId="0" fontId="2" fillId="14" borderId="14" xfId="0" applyFont="1" applyFill="1" applyBorder="1" applyAlignment="1" applyProtection="1">
      <alignment horizontal="center" vertical="center" wrapText="1"/>
    </xf>
    <xf numFmtId="0" fontId="25" fillId="13" borderId="14" xfId="0" applyFont="1" applyFill="1" applyBorder="1" applyAlignment="1" applyProtection="1">
      <alignment horizontal="center" vertical="center" wrapText="1"/>
    </xf>
    <xf numFmtId="0" fontId="25" fillId="13" borderId="15" xfId="0" applyFont="1" applyFill="1" applyBorder="1" applyAlignment="1" applyProtection="1">
      <alignment horizontal="center" vertical="center" wrapText="1"/>
    </xf>
    <xf numFmtId="0" fontId="2" fillId="1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13" borderId="15" xfId="0" applyFont="1" applyFill="1" applyBorder="1" applyAlignment="1" applyProtection="1">
      <alignment horizontal="center" vertical="center" wrapText="1"/>
    </xf>
    <xf numFmtId="0" fontId="2" fillId="12" borderId="20" xfId="0" applyFont="1" applyFill="1" applyBorder="1" applyAlignment="1" applyProtection="1">
      <alignment horizontal="center" vertical="center"/>
    </xf>
    <xf numFmtId="164" fontId="53" fillId="11" borderId="37" xfId="0" applyNumberFormat="1" applyFont="1" applyFill="1" applyBorder="1" applyAlignment="1" applyProtection="1">
      <alignment horizontal="right" vertical="center"/>
    </xf>
    <xf numFmtId="164" fontId="53" fillId="11" borderId="38" xfId="0" applyNumberFormat="1" applyFont="1" applyFill="1" applyBorder="1" applyAlignment="1" applyProtection="1">
      <alignment horizontal="right" vertical="center"/>
    </xf>
    <xf numFmtId="164" fontId="53" fillId="11" borderId="4" xfId="0" applyNumberFormat="1" applyFont="1" applyFill="1" applyBorder="1" applyAlignment="1" applyProtection="1">
      <alignment horizontal="right" vertical="center"/>
    </xf>
    <xf numFmtId="2" fontId="49" fillId="0" borderId="20" xfId="0" applyNumberFormat="1" applyFont="1" applyFill="1" applyBorder="1" applyAlignment="1" applyProtection="1">
      <alignment horizontal="center" vertical="center"/>
    </xf>
    <xf numFmtId="2" fontId="49" fillId="0" borderId="21" xfId="0" applyNumberFormat="1" applyFont="1" applyFill="1" applyBorder="1" applyAlignment="1" applyProtection="1">
      <alignment horizontal="center" vertical="center"/>
    </xf>
    <xf numFmtId="0" fontId="2" fillId="0" borderId="15" xfId="0" applyFont="1" applyBorder="1" applyAlignment="1" applyProtection="1">
      <alignment horizontal="center"/>
    </xf>
    <xf numFmtId="164" fontId="2" fillId="0" borderId="1" xfId="0" applyNumberFormat="1" applyFont="1" applyFill="1" applyBorder="1" applyAlignment="1" applyProtection="1">
      <alignment horizontal="right" vertical="center"/>
    </xf>
    <xf numFmtId="164" fontId="2" fillId="0" borderId="4" xfId="0" applyNumberFormat="1" applyFont="1" applyFill="1" applyBorder="1" applyAlignment="1" applyProtection="1">
      <alignment horizontal="right" vertical="center"/>
    </xf>
    <xf numFmtId="164" fontId="25" fillId="2" borderId="33" xfId="0" applyNumberFormat="1" applyFont="1" applyFill="1" applyBorder="1" applyAlignment="1" applyProtection="1">
      <alignment horizontal="center" vertical="center" wrapText="1"/>
    </xf>
    <xf numFmtId="0" fontId="25" fillId="2" borderId="31" xfId="0" applyFont="1" applyFill="1" applyBorder="1" applyAlignment="1" applyProtection="1">
      <alignment horizontal="center" wrapText="1"/>
    </xf>
    <xf numFmtId="0" fontId="1" fillId="2" borderId="21"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164" fontId="20" fillId="2" borderId="4" xfId="0" applyNumberFormat="1" applyFont="1" applyFill="1" applyBorder="1" applyAlignment="1" applyProtection="1">
      <alignment horizontal="left" vertical="center"/>
    </xf>
    <xf numFmtId="0" fontId="21" fillId="0" borderId="4" xfId="0" applyFont="1" applyBorder="1" applyAlignment="1" applyProtection="1">
      <alignment horizontal="left"/>
    </xf>
    <xf numFmtId="0" fontId="21" fillId="0" borderId="3" xfId="0" applyFont="1" applyBorder="1" applyAlignment="1" applyProtection="1">
      <alignment horizontal="left"/>
    </xf>
    <xf numFmtId="0" fontId="2" fillId="0" borderId="115" xfId="0" applyFont="1" applyBorder="1" applyAlignment="1" applyProtection="1">
      <alignment horizontal="center" vertical="center" wrapText="1"/>
    </xf>
    <xf numFmtId="0" fontId="2" fillId="0" borderId="116" xfId="0" applyFont="1" applyBorder="1" applyAlignment="1" applyProtection="1">
      <alignment horizontal="center" vertical="center" wrapText="1"/>
    </xf>
    <xf numFmtId="164" fontId="20" fillId="2" borderId="1" xfId="0" applyNumberFormat="1" applyFont="1" applyFill="1" applyBorder="1" applyAlignment="1" applyProtection="1">
      <alignment horizontal="right" vertical="center" wrapText="1"/>
    </xf>
    <xf numFmtId="164" fontId="20" fillId="2" borderId="4" xfId="0" applyNumberFormat="1" applyFont="1" applyFill="1" applyBorder="1" applyAlignment="1" applyProtection="1">
      <alignment horizontal="right" vertical="center" wrapText="1"/>
    </xf>
    <xf numFmtId="164" fontId="2" fillId="3" borderId="8"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4" borderId="2" xfId="0" applyFill="1" applyBorder="1" applyAlignment="1" applyProtection="1">
      <alignment horizontal="center"/>
    </xf>
    <xf numFmtId="0" fontId="0" fillId="4" borderId="9" xfId="0" applyFill="1" applyBorder="1" applyAlignment="1" applyProtection="1"/>
    <xf numFmtId="164" fontId="2" fillId="4" borderId="34" xfId="0" applyNumberFormat="1" applyFont="1" applyFill="1" applyBorder="1" applyAlignment="1" applyProtection="1">
      <alignment horizontal="center" vertical="center" wrapText="1"/>
    </xf>
    <xf numFmtId="164" fontId="2" fillId="4" borderId="39" xfId="0" applyNumberFormat="1" applyFont="1" applyFill="1" applyBorder="1" applyAlignment="1" applyProtection="1">
      <alignment horizontal="center" vertical="center" wrapText="1"/>
    </xf>
    <xf numFmtId="164" fontId="2" fillId="4" borderId="2" xfId="0" applyNumberFormat="1" applyFont="1" applyFill="1" applyBorder="1" applyAlignment="1" applyProtection="1">
      <alignment horizontal="center" vertical="center" wrapText="1"/>
    </xf>
    <xf numFmtId="164" fontId="2" fillId="4" borderId="9" xfId="0" applyNumberFormat="1" applyFont="1" applyFill="1" applyBorder="1" applyAlignment="1" applyProtection="1">
      <alignment horizontal="center" vertical="center" wrapText="1"/>
    </xf>
    <xf numFmtId="0" fontId="53" fillId="0" borderId="14" xfId="0" applyFont="1" applyBorder="1" applyAlignment="1" applyProtection="1">
      <alignment horizontal="left" vertical="center"/>
    </xf>
    <xf numFmtId="0" fontId="53" fillId="0" borderId="15" xfId="0" applyFont="1" applyBorder="1" applyAlignment="1" applyProtection="1">
      <alignment horizontal="left" vertical="center"/>
    </xf>
    <xf numFmtId="164" fontId="1" fillId="9" borderId="20" xfId="0" applyNumberFormat="1" applyFont="1" applyFill="1" applyBorder="1" applyAlignment="1" applyProtection="1">
      <alignment horizontal="center" vertical="center"/>
      <protection locked="0"/>
    </xf>
    <xf numFmtId="164" fontId="1" fillId="9" borderId="21" xfId="0" applyNumberFormat="1" applyFont="1" applyFill="1" applyBorder="1" applyAlignment="1" applyProtection="1">
      <alignment horizontal="center" vertical="center"/>
      <protection locked="0"/>
    </xf>
    <xf numFmtId="164" fontId="1" fillId="9" borderId="15" xfId="0" applyNumberFormat="1" applyFont="1" applyFill="1" applyBorder="1" applyAlignment="1" applyProtection="1">
      <alignment horizontal="center" vertical="center"/>
      <protection locked="0"/>
    </xf>
    <xf numFmtId="164" fontId="1" fillId="9" borderId="25" xfId="0" applyNumberFormat="1" applyFont="1" applyFill="1" applyBorder="1" applyAlignment="1" applyProtection="1">
      <alignment horizontal="center" vertical="center"/>
      <protection locked="0"/>
    </xf>
    <xf numFmtId="164" fontId="1" fillId="9" borderId="31" xfId="0" applyNumberFormat="1" applyFont="1" applyFill="1" applyBorder="1" applyAlignment="1" applyProtection="1">
      <alignment horizontal="center" vertical="center"/>
      <protection locked="0"/>
    </xf>
    <xf numFmtId="164" fontId="1" fillId="9" borderId="32" xfId="0" applyNumberFormat="1" applyFont="1" applyFill="1" applyBorder="1" applyAlignment="1" applyProtection="1">
      <alignment horizontal="center" vertical="center"/>
      <protection locked="0"/>
    </xf>
    <xf numFmtId="0" fontId="4" fillId="11" borderId="15" xfId="0" applyFont="1" applyFill="1" applyBorder="1" applyAlignment="1" applyProtection="1">
      <alignment horizontal="center" vertical="top" wrapText="1"/>
    </xf>
    <xf numFmtId="0" fontId="6" fillId="0" borderId="48" xfId="0" applyFont="1" applyBorder="1" applyAlignment="1" applyProtection="1">
      <alignment horizontal="left" vertical="center"/>
    </xf>
    <xf numFmtId="164" fontId="6" fillId="0" borderId="47" xfId="0" applyNumberFormat="1" applyFont="1" applyFill="1" applyBorder="1" applyAlignment="1" applyProtection="1">
      <alignment horizontal="center" vertical="center"/>
    </xf>
    <xf numFmtId="164" fontId="6" fillId="0" borderId="35" xfId="0" applyNumberFormat="1" applyFont="1" applyFill="1" applyBorder="1" applyAlignment="1" applyProtection="1">
      <alignment horizontal="center" vertical="center"/>
    </xf>
    <xf numFmtId="164" fontId="6" fillId="0" borderId="39" xfId="0" applyNumberFormat="1" applyFont="1" applyFill="1" applyBorder="1" applyAlignment="1" applyProtection="1">
      <alignment horizontal="center" vertical="center"/>
    </xf>
    <xf numFmtId="0" fontId="53" fillId="0" borderId="22" xfId="0" applyFont="1" applyBorder="1" applyAlignment="1" applyProtection="1">
      <alignment horizontal="left" vertical="center"/>
    </xf>
    <xf numFmtId="0" fontId="53" fillId="0" borderId="20" xfId="0" applyFont="1" applyBorder="1" applyAlignment="1" applyProtection="1">
      <alignment horizontal="left" vertical="center"/>
    </xf>
    <xf numFmtId="164" fontId="5" fillId="0" borderId="1" xfId="0" applyNumberFormat="1" applyFont="1" applyFill="1" applyBorder="1" applyAlignment="1" applyProtection="1">
      <alignment horizontal="left"/>
    </xf>
    <xf numFmtId="164" fontId="5" fillId="0" borderId="4" xfId="0" applyNumberFormat="1" applyFont="1" applyFill="1" applyBorder="1" applyAlignment="1" applyProtection="1">
      <alignment horizontal="left"/>
    </xf>
    <xf numFmtId="164" fontId="5" fillId="0" borderId="3" xfId="0" applyNumberFormat="1" applyFont="1" applyFill="1" applyBorder="1" applyAlignment="1" applyProtection="1">
      <alignment horizontal="left"/>
    </xf>
    <xf numFmtId="0" fontId="1" fillId="0" borderId="0" xfId="0" applyFont="1" applyAlignment="1" applyProtection="1">
      <alignment horizontal="left" vertical="center"/>
    </xf>
    <xf numFmtId="164" fontId="5" fillId="0" borderId="1" xfId="0" applyNumberFormat="1" applyFont="1" applyFill="1" applyBorder="1" applyAlignment="1" applyProtection="1">
      <alignment horizontal="center"/>
    </xf>
    <xf numFmtId="0" fontId="0" fillId="0" borderId="4" xfId="0" applyFill="1" applyBorder="1" applyAlignment="1" applyProtection="1">
      <alignment horizontal="center"/>
    </xf>
    <xf numFmtId="0" fontId="37" fillId="0" borderId="112" xfId="0" applyFont="1" applyBorder="1" applyAlignment="1" applyProtection="1">
      <alignment horizontal="center" vertical="center" wrapText="1"/>
    </xf>
    <xf numFmtId="0" fontId="37" fillId="0" borderId="113" xfId="0" applyFont="1" applyBorder="1" applyAlignment="1" applyProtection="1">
      <alignment horizontal="center" vertical="center" wrapText="1"/>
    </xf>
    <xf numFmtId="0" fontId="37" fillId="0" borderId="114" xfId="0" applyFont="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xf>
    <xf numFmtId="0" fontId="2" fillId="12" borderId="104" xfId="0" applyFont="1" applyFill="1" applyBorder="1" applyAlignment="1" applyProtection="1">
      <alignment horizontal="center" vertical="center" wrapText="1"/>
    </xf>
    <xf numFmtId="0" fontId="2" fillId="12" borderId="55" xfId="0" applyFont="1" applyFill="1" applyBorder="1" applyAlignment="1" applyProtection="1">
      <alignment horizontal="center" vertical="center" wrapText="1"/>
    </xf>
    <xf numFmtId="0" fontId="2" fillId="12" borderId="105" xfId="0" applyFont="1" applyFill="1" applyBorder="1" applyAlignment="1" applyProtection="1">
      <alignment horizontal="center" vertical="center" wrapText="1"/>
    </xf>
    <xf numFmtId="0" fontId="2" fillId="12" borderId="24" xfId="0" applyFont="1" applyFill="1" applyBorder="1" applyAlignment="1" applyProtection="1">
      <alignment horizontal="center" vertical="center" wrapText="1"/>
    </xf>
    <xf numFmtId="0" fontId="2" fillId="12" borderId="11" xfId="0" applyFont="1" applyFill="1" applyBorder="1" applyAlignment="1" applyProtection="1">
      <alignment horizontal="center" vertical="center" wrapText="1"/>
    </xf>
    <xf numFmtId="0" fontId="2" fillId="15" borderId="90" xfId="0" applyFont="1" applyFill="1" applyBorder="1" applyAlignment="1" applyProtection="1">
      <alignment horizontal="center" vertical="center" wrapText="1"/>
    </xf>
    <xf numFmtId="0" fontId="2" fillId="15" borderId="91" xfId="0" applyFont="1" applyFill="1" applyBorder="1" applyAlignment="1" applyProtection="1">
      <alignment horizontal="center" vertical="center" wrapText="1"/>
    </xf>
    <xf numFmtId="0" fontId="25" fillId="15" borderId="62" xfId="0" applyFont="1" applyFill="1" applyBorder="1" applyAlignment="1" applyProtection="1">
      <alignment horizontal="center" wrapText="1"/>
    </xf>
    <xf numFmtId="164" fontId="1" fillId="2" borderId="33" xfId="0" applyNumberFormat="1" applyFont="1" applyFill="1" applyBorder="1" applyAlignment="1" applyProtection="1">
      <alignment horizontal="center" vertical="center" wrapText="1"/>
    </xf>
    <xf numFmtId="0" fontId="1" fillId="2" borderId="31" xfId="0" applyFont="1" applyFill="1" applyBorder="1" applyAlignment="1" applyProtection="1">
      <alignment horizontal="center" wrapText="1"/>
    </xf>
    <xf numFmtId="2" fontId="10" fillId="0" borderId="0" xfId="0" applyNumberFormat="1" applyFont="1" applyFill="1" applyBorder="1" applyAlignment="1" applyProtection="1">
      <alignment horizontal="center" vertical="center" wrapText="1"/>
    </xf>
    <xf numFmtId="2" fontId="10" fillId="0" borderId="73" xfId="0" applyNumberFormat="1"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70" xfId="0" applyFont="1" applyFill="1" applyBorder="1" applyAlignment="1" applyProtection="1">
      <alignment horizontal="center" vertical="center"/>
    </xf>
    <xf numFmtId="2" fontId="10"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73" xfId="0" applyFont="1" applyBorder="1" applyAlignment="1" applyProtection="1">
      <alignment horizontal="center" vertical="center" wrapText="1"/>
    </xf>
    <xf numFmtId="0" fontId="43" fillId="0" borderId="78" xfId="0" applyFont="1" applyFill="1" applyBorder="1" applyAlignment="1" applyProtection="1">
      <alignment horizontal="center"/>
    </xf>
    <xf numFmtId="0" fontId="30" fillId="0" borderId="78" xfId="0" applyFont="1" applyFill="1" applyBorder="1" applyAlignment="1" applyProtection="1">
      <alignment horizontal="center"/>
    </xf>
    <xf numFmtId="0" fontId="30" fillId="0" borderId="79" xfId="0" applyFont="1" applyFill="1" applyBorder="1" applyAlignment="1" applyProtection="1">
      <alignment horizontal="center"/>
    </xf>
    <xf numFmtId="0" fontId="5" fillId="0" borderId="5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7" fillId="0" borderId="54"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93" xfId="0" applyFont="1" applyFill="1" applyBorder="1" applyAlignment="1" applyProtection="1">
      <alignment horizontal="center" vertical="center"/>
    </xf>
    <xf numFmtId="0" fontId="7" fillId="0" borderId="95" xfId="0" applyFont="1" applyFill="1" applyBorder="1" applyAlignment="1" applyProtection="1">
      <alignment horizontal="center" vertical="center"/>
    </xf>
    <xf numFmtId="0" fontId="7" fillId="0" borderId="97" xfId="0" applyFont="1" applyFill="1" applyBorder="1" applyAlignment="1" applyProtection="1">
      <alignment horizontal="center" vertical="center"/>
    </xf>
    <xf numFmtId="0" fontId="56" fillId="0" borderId="90" xfId="0" applyFont="1" applyFill="1" applyBorder="1" applyAlignment="1" applyProtection="1">
      <alignment horizontal="center"/>
    </xf>
    <xf numFmtId="0" fontId="53" fillId="0" borderId="15" xfId="0" applyFont="1" applyFill="1" applyBorder="1" applyAlignment="1" applyProtection="1">
      <alignment horizontal="center"/>
    </xf>
    <xf numFmtId="14" fontId="9" fillId="0" borderId="15" xfId="0" applyNumberFormat="1" applyFont="1" applyFill="1" applyBorder="1" applyAlignment="1" applyProtection="1">
      <alignment horizontal="center"/>
    </xf>
    <xf numFmtId="14" fontId="9" fillId="0" borderId="62" xfId="0" applyNumberFormat="1" applyFont="1" applyFill="1" applyBorder="1" applyAlignment="1" applyProtection="1">
      <alignment horizontal="center"/>
    </xf>
    <xf numFmtId="0" fontId="78" fillId="0" borderId="67" xfId="0" applyFont="1" applyBorder="1" applyAlignment="1" applyProtection="1">
      <alignment horizontal="right" vertical="center"/>
    </xf>
    <xf numFmtId="0" fontId="78" fillId="0" borderId="15" xfId="0" applyFont="1" applyBorder="1" applyAlignment="1" applyProtection="1">
      <alignment horizontal="right" vertical="center"/>
    </xf>
    <xf numFmtId="0" fontId="78" fillId="0" borderId="15" xfId="0" applyFont="1" applyBorder="1" applyAlignment="1" applyProtection="1">
      <alignment horizontal="right"/>
    </xf>
    <xf numFmtId="0" fontId="70" fillId="0" borderId="83" xfId="0" applyFont="1" applyBorder="1" applyAlignment="1" applyProtection="1">
      <alignment horizontal="left" vertical="center"/>
    </xf>
    <xf numFmtId="0" fontId="70" fillId="0" borderId="38" xfId="0" applyFont="1" applyBorder="1" applyAlignment="1" applyProtection="1">
      <alignment horizontal="left" vertical="center"/>
    </xf>
    <xf numFmtId="0" fontId="70" fillId="0" borderId="74" xfId="0" applyFont="1" applyBorder="1" applyAlignment="1" applyProtection="1">
      <alignment horizontal="left" vertical="center"/>
    </xf>
    <xf numFmtId="0" fontId="9" fillId="0" borderId="86" xfId="0" applyFont="1" applyBorder="1" applyAlignment="1" applyProtection="1">
      <alignment horizontal="center" vertical="center"/>
    </xf>
    <xf numFmtId="0" fontId="9" fillId="0" borderId="3" xfId="0" applyFont="1" applyBorder="1" applyAlignment="1" applyProtection="1">
      <alignment horizontal="center" vertical="center"/>
    </xf>
    <xf numFmtId="0" fontId="5" fillId="0" borderId="2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0" fontId="5" fillId="0" borderId="64" xfId="0" applyFont="1" applyFill="1" applyBorder="1" applyAlignment="1" applyProtection="1">
      <alignment horizontal="center" vertical="center" wrapText="1"/>
    </xf>
    <xf numFmtId="0" fontId="83" fillId="0" borderId="75" xfId="0" applyFont="1" applyBorder="1" applyAlignment="1" applyProtection="1">
      <alignment horizontal="center" vertical="center"/>
    </xf>
    <xf numFmtId="0" fontId="83" fillId="0" borderId="11" xfId="0" applyFont="1" applyBorder="1" applyAlignment="1" applyProtection="1">
      <alignment horizontal="center" vertical="center"/>
    </xf>
    <xf numFmtId="0" fontId="40" fillId="0" borderId="67" xfId="0" applyFont="1" applyBorder="1" applyAlignment="1" applyProtection="1">
      <alignment horizontal="right" vertical="center"/>
    </xf>
    <xf numFmtId="0" fontId="40" fillId="0" borderId="15" xfId="0" applyFont="1" applyBorder="1" applyAlignment="1" applyProtection="1">
      <alignment horizontal="right" vertical="center"/>
    </xf>
    <xf numFmtId="0" fontId="76" fillId="0" borderId="61" xfId="0" applyFont="1" applyBorder="1" applyAlignment="1" applyProtection="1">
      <alignment horizontal="center" vertical="center"/>
    </xf>
    <xf numFmtId="0" fontId="76" fillId="0" borderId="30" xfId="0" applyFont="1" applyBorder="1" applyAlignment="1" applyProtection="1">
      <alignment horizontal="center" vertical="center"/>
    </xf>
    <xf numFmtId="0" fontId="58" fillId="0" borderId="30" xfId="0" applyFont="1" applyFill="1" applyBorder="1" applyAlignment="1" applyProtection="1">
      <alignment horizontal="center" vertical="center"/>
    </xf>
    <xf numFmtId="0" fontId="58" fillId="0" borderId="100" xfId="0" applyFont="1" applyFill="1" applyBorder="1" applyAlignment="1" applyProtection="1">
      <alignment horizontal="center" vertical="center"/>
    </xf>
    <xf numFmtId="164" fontId="76" fillId="0" borderId="67" xfId="0" applyNumberFormat="1" applyFont="1" applyFill="1" applyBorder="1" applyAlignment="1" applyProtection="1">
      <alignment horizontal="right" vertical="center"/>
    </xf>
    <xf numFmtId="164" fontId="76" fillId="0" borderId="15" xfId="0" applyNumberFormat="1" applyFont="1" applyFill="1" applyBorder="1" applyAlignment="1" applyProtection="1">
      <alignment horizontal="right" vertical="center"/>
    </xf>
    <xf numFmtId="169" fontId="1" fillId="0" borderId="15" xfId="0" applyNumberFormat="1" applyFont="1" applyFill="1" applyBorder="1" applyAlignment="1" applyProtection="1">
      <alignment horizontal="center" vertical="center"/>
    </xf>
    <xf numFmtId="169" fontId="1" fillId="0" borderId="62" xfId="0" applyNumberFormat="1" applyFont="1" applyFill="1" applyBorder="1" applyAlignment="1" applyProtection="1">
      <alignment horizontal="center" vertical="center"/>
    </xf>
    <xf numFmtId="0" fontId="71" fillId="0" borderId="69" xfId="0" applyFont="1" applyBorder="1" applyAlignment="1" applyProtection="1">
      <alignment horizontal="center" vertical="center"/>
    </xf>
    <xf numFmtId="0" fontId="71" fillId="0" borderId="39" xfId="0" applyFont="1" applyBorder="1" applyAlignment="1" applyProtection="1">
      <alignment horizontal="center" vertical="center"/>
    </xf>
    <xf numFmtId="0" fontId="71" fillId="0" borderId="22" xfId="0" applyFont="1" applyFill="1" applyBorder="1" applyAlignment="1" applyProtection="1">
      <alignment horizontal="center" vertical="center" wrapText="1"/>
    </xf>
    <xf numFmtId="0" fontId="71" fillId="0" borderId="49" xfId="0" applyFont="1" applyFill="1" applyBorder="1" applyAlignment="1" applyProtection="1">
      <alignment horizontal="center" vertical="center" wrapText="1"/>
    </xf>
    <xf numFmtId="0" fontId="71" fillId="0" borderId="60" xfId="0" applyFont="1" applyFill="1" applyBorder="1" applyAlignment="1" applyProtection="1">
      <alignment horizontal="center" vertical="center" wrapText="1"/>
    </xf>
    <xf numFmtId="0" fontId="71" fillId="0" borderId="64" xfId="0" applyFont="1" applyFill="1" applyBorder="1" applyAlignment="1" applyProtection="1">
      <alignment horizontal="center" vertical="center" wrapText="1"/>
    </xf>
    <xf numFmtId="0" fontId="78" fillId="0" borderId="66" xfId="0" applyFont="1" applyBorder="1" applyAlignment="1" applyProtection="1">
      <alignment horizontal="center" vertical="center"/>
    </xf>
    <xf numFmtId="0" fontId="78" fillId="0" borderId="20" xfId="0" applyFont="1" applyBorder="1" applyAlignment="1" applyProtection="1">
      <alignment horizontal="center" vertical="center"/>
    </xf>
    <xf numFmtId="169" fontId="3" fillId="0" borderId="78" xfId="0" applyNumberFormat="1" applyFont="1" applyFill="1" applyBorder="1" applyAlignment="1" applyProtection="1">
      <alignment horizontal="center" vertical="center"/>
    </xf>
    <xf numFmtId="169" fontId="3" fillId="0" borderId="79" xfId="0" applyNumberFormat="1" applyFont="1" applyFill="1" applyBorder="1" applyAlignment="1" applyProtection="1">
      <alignment horizontal="center" vertical="center"/>
    </xf>
    <xf numFmtId="0" fontId="87" fillId="0" borderId="59" xfId="0" applyFont="1" applyBorder="1" applyAlignment="1" applyProtection="1">
      <alignment horizontal="center" vertical="center" wrapText="1"/>
    </xf>
    <xf numFmtId="0" fontId="84" fillId="0" borderId="7" xfId="0" applyFont="1" applyBorder="1" applyAlignment="1" applyProtection="1">
      <alignment horizontal="center" vertical="center" wrapText="1"/>
    </xf>
    <xf numFmtId="0" fontId="71" fillId="0" borderId="59" xfId="0" applyFont="1" applyFill="1" applyBorder="1" applyAlignment="1" applyProtection="1">
      <alignment horizontal="center" vertical="center" wrapText="1"/>
    </xf>
    <xf numFmtId="0" fontId="71" fillId="0" borderId="61" xfId="0" applyFont="1" applyFill="1" applyBorder="1" applyAlignment="1" applyProtection="1">
      <alignment horizontal="center" vertical="center" wrapText="1"/>
    </xf>
    <xf numFmtId="0" fontId="71" fillId="0" borderId="26" xfId="0" applyFont="1" applyBorder="1" applyAlignment="1" applyProtection="1">
      <alignment horizontal="right" vertical="center"/>
    </xf>
    <xf numFmtId="0" fontId="78" fillId="0" borderId="6" xfId="0" applyFont="1" applyBorder="1" applyAlignment="1" applyProtection="1">
      <alignment horizontal="right"/>
    </xf>
    <xf numFmtId="0" fontId="71" fillId="0" borderId="72" xfId="0" applyFont="1" applyBorder="1" applyAlignment="1" applyProtection="1">
      <alignment horizontal="left" vertical="center"/>
    </xf>
    <xf numFmtId="0" fontId="71" fillId="0" borderId="0" xfId="0" applyFont="1" applyBorder="1" applyAlignment="1" applyProtection="1">
      <alignment horizontal="left" vertical="center"/>
    </xf>
    <xf numFmtId="0" fontId="71" fillId="0" borderId="73" xfId="0" applyFont="1" applyBorder="1" applyAlignment="1" applyProtection="1">
      <alignment horizontal="left" vertical="center"/>
    </xf>
    <xf numFmtId="0" fontId="57" fillId="0" borderId="17" xfId="0" applyFont="1" applyBorder="1" applyAlignment="1" applyProtection="1">
      <alignment horizontal="right" vertical="center"/>
    </xf>
    <xf numFmtId="0" fontId="72" fillId="0" borderId="2" xfId="0" applyFont="1" applyFill="1" applyBorder="1" applyAlignment="1" applyProtection="1">
      <alignment horizontal="left" vertical="center" wrapText="1"/>
    </xf>
    <xf numFmtId="0" fontId="58" fillId="0" borderId="2" xfId="0" applyFont="1" applyBorder="1" applyAlignment="1" applyProtection="1">
      <alignment horizontal="left" wrapText="1"/>
    </xf>
    <xf numFmtId="170" fontId="58" fillId="8" borderId="2" xfId="0" applyNumberFormat="1" applyFont="1" applyFill="1" applyBorder="1" applyAlignment="1" applyProtection="1">
      <alignment horizontal="center" vertical="top" wrapText="1"/>
    </xf>
    <xf numFmtId="170" fontId="58" fillId="8" borderId="0" xfId="0" applyNumberFormat="1" applyFont="1" applyFill="1" applyBorder="1" applyAlignment="1" applyProtection="1">
      <alignment horizontal="center" vertical="top" wrapText="1"/>
    </xf>
    <xf numFmtId="170" fontId="58" fillId="8" borderId="73" xfId="0" applyNumberFormat="1" applyFont="1" applyFill="1" applyBorder="1" applyAlignment="1" applyProtection="1">
      <alignment horizontal="center" vertical="top" wrapText="1"/>
    </xf>
    <xf numFmtId="170" fontId="58" fillId="8" borderId="96" xfId="0" applyNumberFormat="1" applyFont="1" applyFill="1" applyBorder="1" applyAlignment="1" applyProtection="1">
      <alignment horizontal="center" vertical="top" wrapText="1"/>
    </xf>
    <xf numFmtId="170" fontId="58" fillId="8" borderId="95" xfId="0" applyNumberFormat="1" applyFont="1" applyFill="1" applyBorder="1" applyAlignment="1" applyProtection="1">
      <alignment horizontal="center" vertical="top" wrapText="1"/>
    </xf>
    <xf numFmtId="170" fontId="58" fillId="8" borderId="97" xfId="0" applyNumberFormat="1" applyFont="1" applyFill="1" applyBorder="1" applyAlignment="1" applyProtection="1">
      <alignment horizontal="center" vertical="top" wrapText="1"/>
    </xf>
    <xf numFmtId="0" fontId="76" fillId="0" borderId="54" xfId="0" applyFont="1" applyFill="1" applyBorder="1" applyAlignment="1" applyProtection="1">
      <alignment horizontal="center" vertical="center"/>
    </xf>
    <xf numFmtId="0" fontId="76" fillId="0" borderId="55" xfId="0" applyFont="1" applyFill="1" applyBorder="1" applyAlignment="1" applyProtection="1">
      <alignment horizontal="center" vertical="center"/>
    </xf>
    <xf numFmtId="0" fontId="91" fillId="0" borderId="22" xfId="0" applyFont="1" applyFill="1" applyBorder="1" applyAlignment="1" applyProtection="1">
      <alignment horizontal="center" vertical="center" wrapText="1"/>
    </xf>
    <xf numFmtId="0" fontId="91" fillId="0" borderId="20"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53" fillId="0" borderId="9" xfId="0" applyFont="1" applyFill="1" applyBorder="1" applyAlignment="1" applyProtection="1">
      <alignment horizontal="center" vertical="center" wrapText="1"/>
    </xf>
    <xf numFmtId="0" fontId="89" fillId="0" borderId="34" xfId="0" applyFont="1" applyFill="1" applyBorder="1" applyAlignment="1" applyProtection="1">
      <alignment horizontal="center" vertical="center"/>
    </xf>
    <xf numFmtId="0" fontId="89" fillId="0" borderId="35" xfId="0" applyFont="1" applyFill="1" applyBorder="1" applyAlignment="1" applyProtection="1">
      <alignment horizontal="center" vertical="center"/>
    </xf>
    <xf numFmtId="0" fontId="89" fillId="0" borderId="39" xfId="0" applyFont="1" applyFill="1" applyBorder="1" applyAlignment="1" applyProtection="1">
      <alignment horizontal="center" vertical="center"/>
    </xf>
    <xf numFmtId="1" fontId="8" fillId="0" borderId="34" xfId="0" applyNumberFormat="1" applyFont="1" applyFill="1" applyBorder="1" applyAlignment="1" applyProtection="1">
      <alignment horizontal="center" vertical="center"/>
    </xf>
    <xf numFmtId="1" fontId="8" fillId="0" borderId="35" xfId="0" applyNumberFormat="1" applyFont="1" applyFill="1" applyBorder="1" applyAlignment="1" applyProtection="1">
      <alignment horizontal="center" vertical="center"/>
    </xf>
    <xf numFmtId="1" fontId="8" fillId="0" borderId="70" xfId="0" applyNumberFormat="1" applyFont="1" applyFill="1" applyBorder="1" applyAlignment="1" applyProtection="1">
      <alignment horizontal="center" vertical="center"/>
    </xf>
    <xf numFmtId="0" fontId="89" fillId="0" borderId="2" xfId="0" applyFont="1" applyFill="1" applyBorder="1" applyAlignment="1" applyProtection="1">
      <alignment horizontal="center" vertical="center"/>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164" fontId="23" fillId="0" borderId="34" xfId="0" applyNumberFormat="1" applyFont="1" applyFill="1" applyBorder="1" applyAlignment="1" applyProtection="1">
      <alignment horizontal="center" vertical="center" wrapText="1"/>
    </xf>
    <xf numFmtId="164" fontId="23" fillId="0" borderId="117" xfId="0" applyNumberFormat="1" applyFont="1" applyFill="1" applyBorder="1" applyAlignment="1" applyProtection="1">
      <alignment horizontal="center" vertical="center" wrapText="1"/>
    </xf>
    <xf numFmtId="0" fontId="84" fillId="0" borderId="15" xfId="0" applyFont="1" applyFill="1" applyBorder="1" applyAlignment="1" applyProtection="1">
      <alignment horizontal="center" vertical="center" wrapText="1"/>
    </xf>
    <xf numFmtId="0" fontId="84" fillId="0" borderId="78" xfId="0" applyFont="1" applyFill="1" applyBorder="1" applyAlignment="1" applyProtection="1">
      <alignment horizontal="center" vertical="center" wrapText="1"/>
    </xf>
    <xf numFmtId="0" fontId="87" fillId="0" borderId="15" xfId="0" applyFont="1" applyFill="1" applyBorder="1" applyAlignment="1" applyProtection="1">
      <alignment horizontal="center" vertical="center"/>
    </xf>
    <xf numFmtId="0" fontId="87" fillId="0" borderId="78" xfId="0"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1" fontId="8" fillId="0" borderId="2" xfId="0" applyNumberFormat="1" applyFont="1" applyFill="1" applyBorder="1" applyAlignment="1" applyProtection="1">
      <alignment horizontal="center" vertical="center"/>
    </xf>
    <xf numFmtId="1" fontId="8" fillId="0" borderId="0" xfId="0" applyNumberFormat="1" applyFont="1" applyFill="1" applyBorder="1" applyAlignment="1" applyProtection="1">
      <alignment horizontal="center" vertical="center"/>
    </xf>
    <xf numFmtId="1" fontId="8" fillId="0" borderId="73" xfId="0" applyNumberFormat="1" applyFont="1" applyFill="1" applyBorder="1" applyAlignment="1" applyProtection="1">
      <alignment horizontal="center" vertical="center"/>
    </xf>
  </cellXfs>
  <cellStyles count="2">
    <cellStyle name="Comma" xfId="1" builtinId="3"/>
    <cellStyle name="Normal" xfId="0" builtinId="0"/>
  </cellStyles>
  <dxfs count="73">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bgColor theme="8" tint="0.79998168889431442"/>
        </patternFill>
      </fill>
    </dxf>
    <dxf>
      <font>
        <strike val="0"/>
      </font>
      <fill>
        <patternFill>
          <bgColor theme="9" tint="0.79998168889431442"/>
        </patternFill>
      </fill>
    </dxf>
    <dxf>
      <font>
        <strike val="0"/>
        <color rgb="FFFFFF00"/>
      </font>
      <fill>
        <patternFill>
          <bgColor rgb="FFFF0000"/>
        </patternFill>
      </fill>
    </dxf>
    <dxf>
      <font>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bgColor theme="8" tint="0.79998168889431442"/>
        </patternFill>
      </fill>
    </dxf>
    <dxf>
      <font>
        <strike val="0"/>
      </font>
      <fill>
        <patternFill>
          <bgColor theme="9" tint="0.79998168889431442"/>
        </patternFill>
      </fill>
    </dxf>
    <dxf>
      <font>
        <strike val="0"/>
        <color rgb="FFFFFF00"/>
      </font>
      <fill>
        <patternFill>
          <bgColor rgb="FFFF0000"/>
        </patternFill>
      </fill>
    </dxf>
    <dxf>
      <font>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bgColor theme="8" tint="0.79998168889431442"/>
        </patternFill>
      </fill>
    </dxf>
    <dxf>
      <font>
        <strike val="0"/>
      </font>
      <fill>
        <patternFill>
          <bgColor theme="9" tint="0.79998168889431442"/>
        </patternFill>
      </fill>
    </dxf>
    <dxf>
      <font>
        <strike val="0"/>
        <color rgb="FFFFFF00"/>
      </font>
      <fill>
        <patternFill>
          <bgColor rgb="FFFF0000"/>
        </patternFill>
      </fill>
    </dxf>
    <dxf>
      <font>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bgColor theme="8" tint="0.79998168889431442"/>
        </patternFill>
      </fill>
    </dxf>
    <dxf>
      <font>
        <strike val="0"/>
      </font>
      <fill>
        <patternFill>
          <bgColor theme="9" tint="0.79998168889431442"/>
        </patternFill>
      </fill>
    </dxf>
    <dxf>
      <font>
        <strike val="0"/>
        <color rgb="FFFFFF00"/>
      </font>
      <fill>
        <patternFill>
          <bgColor rgb="FFFF0000"/>
        </patternFill>
      </fill>
    </dxf>
    <dxf>
      <font>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bgColor theme="8" tint="0.79998168889431442"/>
        </patternFill>
      </fill>
    </dxf>
    <dxf>
      <font>
        <strike val="0"/>
      </font>
      <fill>
        <patternFill>
          <bgColor theme="9" tint="0.79998168889431442"/>
        </patternFill>
      </fill>
    </dxf>
    <dxf>
      <font>
        <strike val="0"/>
        <color rgb="FFFFFF00"/>
      </font>
      <fill>
        <patternFill>
          <bgColor rgb="FFFF0000"/>
        </patternFill>
      </fill>
    </dxf>
    <dxf>
      <font>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bgColor theme="8" tint="0.79998168889431442"/>
        </patternFill>
      </fill>
    </dxf>
    <dxf>
      <font>
        <strike val="0"/>
      </font>
      <fill>
        <patternFill>
          <bgColor theme="9" tint="0.79998168889431442"/>
        </patternFill>
      </fill>
    </dxf>
    <dxf>
      <font>
        <strike val="0"/>
        <color rgb="FFFFFF00"/>
      </font>
      <fill>
        <patternFill>
          <bgColor rgb="FFFF0000"/>
        </patternFill>
      </fill>
    </dxf>
    <dxf>
      <font>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color rgb="FFFFFF00"/>
      </font>
      <fill>
        <patternFill>
          <bgColor rgb="FFFF0000"/>
        </patternFill>
      </fill>
    </dxf>
    <dxf>
      <font>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strike val="0"/>
        <color rgb="FFFFFF00"/>
      </font>
      <fill>
        <patternFill>
          <bgColor rgb="FFFF0000"/>
        </patternFill>
      </fill>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8000"/>
      <color rgb="FFFFCCFF"/>
      <color rgb="FF339966"/>
      <color rgb="FFD1D1D1"/>
      <color rgb="FFF5F5F5"/>
      <color rgb="FFCCFFCC"/>
      <color rgb="FFCCFFFF"/>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Position of Non-Slewing Actions</c:v>
          </c:tx>
          <c:spPr>
            <a:ln w="25400" cap="rnd">
              <a:noFill/>
              <a:round/>
            </a:ln>
            <a:effectLst/>
          </c:spPr>
          <c:marker>
            <c:symbol val="square"/>
            <c:size val="8"/>
            <c:spPr>
              <a:solidFill>
                <a:srgbClr val="FF0000"/>
              </a:solidFill>
              <a:ln w="9525">
                <a:solidFill>
                  <a:srgbClr val="FF0000"/>
                </a:solidFill>
              </a:ln>
              <a:effectLst/>
            </c:spPr>
          </c:marker>
          <c:xVal>
            <c:numRef>
              <c:f>Standing!$AP$6:$AP$30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xVal>
          <c:yVal>
            <c:numRef>
              <c:f>Standing!$AQ$6:$AQ$30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0"/>
        </c:ser>
        <c:ser>
          <c:idx val="1"/>
          <c:order val="1"/>
          <c:tx>
            <c:v>Resultant of Slewing Actions</c:v>
          </c:tx>
          <c:spPr>
            <a:ln w="25400" cap="rnd">
              <a:noFill/>
              <a:round/>
            </a:ln>
            <a:effectLst/>
          </c:spPr>
          <c:marker>
            <c:symbol val="circle"/>
            <c:size val="5"/>
            <c:spPr>
              <a:noFill/>
              <a:ln w="9525">
                <a:solidFill>
                  <a:schemeClr val="accent2"/>
                </a:solidFill>
              </a:ln>
              <a:effectLst/>
            </c:spPr>
          </c:marker>
          <c:xVal>
            <c:numRef>
              <c:f>Standing!$BA$6:$BA$30</c:f>
              <c:numCache>
                <c:formatCode>0.00</c:formatCode>
                <c:ptCount val="25"/>
                <c:pt idx="0">
                  <c:v>-7.5571177504393683E-2</c:v>
                </c:pt>
                <c:pt idx="1">
                  <c:v>9.3891404771907966E-2</c:v>
                </c:pt>
                <c:pt idx="2">
                  <c:v>0.25695544297588685</c:v>
                </c:pt>
                <c:pt idx="3">
                  <c:v>0.40250839238000624</c:v>
                </c:pt>
                <c:pt idx="4">
                  <c:v>0.52063106001999715</c:v>
                </c:pt>
                <c:pt idx="5">
                  <c:v>0.60327358130313224</c:v>
                </c:pt>
                <c:pt idx="6">
                  <c:v>0.64480400497718982</c:v>
                </c:pt>
                <c:pt idx="7">
                  <c:v>0.64239210130105284</c:v>
                </c:pt>
                <c:pt idx="8">
                  <c:v>0.59620223752439083</c:v>
                </c:pt>
                <c:pt idx="9">
                  <c:v>0.50938217653122431</c:v>
                </c:pt>
                <c:pt idx="10">
                  <c:v>0.38784856200130319</c:v>
                </c:pt>
                <c:pt idx="11">
                  <c:v>0.2398837089210468</c:v>
                </c:pt>
                <c:pt idx="12">
                  <c:v>7.5571177504393794E-2</c:v>
                </c:pt>
                <c:pt idx="13">
                  <c:v>-9.3891404771907966E-2</c:v>
                </c:pt>
                <c:pt idx="14">
                  <c:v>-0.25695544297588663</c:v>
                </c:pt>
                <c:pt idx="15">
                  <c:v>-0.40250839238000607</c:v>
                </c:pt>
                <c:pt idx="16">
                  <c:v>-0.52063106001999715</c:v>
                </c:pt>
                <c:pt idx="17">
                  <c:v>-0.60327358130313213</c:v>
                </c:pt>
                <c:pt idx="18">
                  <c:v>-0.6448040049771897</c:v>
                </c:pt>
                <c:pt idx="19">
                  <c:v>-0.64239210130105284</c:v>
                </c:pt>
                <c:pt idx="20">
                  <c:v>-0.59620223752439094</c:v>
                </c:pt>
                <c:pt idx="21">
                  <c:v>-0.50938217653122453</c:v>
                </c:pt>
                <c:pt idx="22">
                  <c:v>-0.38784856200130297</c:v>
                </c:pt>
                <c:pt idx="23">
                  <c:v>-0.23988370892104688</c:v>
                </c:pt>
                <c:pt idx="24">
                  <c:v>-7.5571177504394169E-2</c:v>
                </c:pt>
              </c:numCache>
            </c:numRef>
          </c:xVal>
          <c:yVal>
            <c:numRef>
              <c:f>Standing!$BB$6:$BB$30</c:f>
              <c:numCache>
                <c:formatCode>0.00</c:formatCode>
                <c:ptCount val="25"/>
                <c:pt idx="0">
                  <c:v>0.64480400497718982</c:v>
                </c:pt>
                <c:pt idx="1">
                  <c:v>0.64239210130105284</c:v>
                </c:pt>
                <c:pt idx="2">
                  <c:v>0.59620223752439083</c:v>
                </c:pt>
                <c:pt idx="3">
                  <c:v>0.50938217653122431</c:v>
                </c:pt>
                <c:pt idx="4">
                  <c:v>0.38784856200130291</c:v>
                </c:pt>
                <c:pt idx="5">
                  <c:v>0.23988370892104666</c:v>
                </c:pt>
                <c:pt idx="6">
                  <c:v>7.5571177504393613E-2</c:v>
                </c:pt>
                <c:pt idx="7">
                  <c:v>-9.3891404771908007E-2</c:v>
                </c:pt>
                <c:pt idx="8">
                  <c:v>-0.25695544297588685</c:v>
                </c:pt>
                <c:pt idx="9">
                  <c:v>-0.40250839238000607</c:v>
                </c:pt>
                <c:pt idx="10">
                  <c:v>-0.52063106001999693</c:v>
                </c:pt>
                <c:pt idx="11">
                  <c:v>-0.60327358130313224</c:v>
                </c:pt>
                <c:pt idx="12">
                  <c:v>-0.64480400497718982</c:v>
                </c:pt>
                <c:pt idx="13">
                  <c:v>-0.64239210130105284</c:v>
                </c:pt>
                <c:pt idx="14">
                  <c:v>-0.59620223752439094</c:v>
                </c:pt>
                <c:pt idx="15">
                  <c:v>-0.50938217653122431</c:v>
                </c:pt>
                <c:pt idx="16">
                  <c:v>-0.38784856200130297</c:v>
                </c:pt>
                <c:pt idx="17">
                  <c:v>-0.23988370892104682</c:v>
                </c:pt>
                <c:pt idx="18">
                  <c:v>-7.5571177504394113E-2</c:v>
                </c:pt>
                <c:pt idx="19">
                  <c:v>9.3891404771907938E-2</c:v>
                </c:pt>
                <c:pt idx="20">
                  <c:v>0.25695544297588663</c:v>
                </c:pt>
                <c:pt idx="21">
                  <c:v>0.4025083923800058</c:v>
                </c:pt>
                <c:pt idx="22">
                  <c:v>0.52063106001999715</c:v>
                </c:pt>
                <c:pt idx="23">
                  <c:v>0.60327358130313213</c:v>
                </c:pt>
                <c:pt idx="24">
                  <c:v>0.6448040049771897</c:v>
                </c:pt>
              </c:numCache>
            </c:numRef>
          </c:yVal>
          <c:smooth val="0"/>
        </c:ser>
        <c:ser>
          <c:idx val="2"/>
          <c:order val="2"/>
          <c:tx>
            <c:strRef>
              <c:f>Standing!$AO$34</c:f>
              <c:strCache>
                <c:ptCount val="1"/>
                <c:pt idx="0">
                  <c:v>LHS</c:v>
                </c:pt>
              </c:strCache>
            </c:strRef>
          </c:tx>
          <c:spPr>
            <a:ln w="25400" cap="rnd">
              <a:solidFill>
                <a:schemeClr val="accent1"/>
              </a:solidFill>
              <a:round/>
            </a:ln>
            <a:effectLst/>
          </c:spPr>
          <c:marker>
            <c:symbol val="none"/>
          </c:marker>
          <c:xVal>
            <c:numRef>
              <c:f>Standing!$AO$36:$AO$40</c:f>
              <c:numCache>
                <c:formatCode>0.000</c:formatCode>
                <c:ptCount val="5"/>
                <c:pt idx="0">
                  <c:v>-2</c:v>
                </c:pt>
                <c:pt idx="1">
                  <c:v>-1.2999999999999998</c:v>
                </c:pt>
                <c:pt idx="2">
                  <c:v>-1.2999999999999998</c:v>
                </c:pt>
                <c:pt idx="3">
                  <c:v>-2</c:v>
                </c:pt>
                <c:pt idx="4">
                  <c:v>-2</c:v>
                </c:pt>
              </c:numCache>
            </c:numRef>
          </c:xVal>
          <c:yVal>
            <c:numRef>
              <c:f>Standing!$AP$36:$AP$40</c:f>
              <c:numCache>
                <c:formatCode>0.000</c:formatCode>
                <c:ptCount val="5"/>
                <c:pt idx="0">
                  <c:v>1.907</c:v>
                </c:pt>
                <c:pt idx="1">
                  <c:v>1.907</c:v>
                </c:pt>
                <c:pt idx="2">
                  <c:v>-1.907</c:v>
                </c:pt>
                <c:pt idx="3">
                  <c:v>-1.907</c:v>
                </c:pt>
                <c:pt idx="4">
                  <c:v>1.907</c:v>
                </c:pt>
              </c:numCache>
            </c:numRef>
          </c:yVal>
          <c:smooth val="0"/>
        </c:ser>
        <c:ser>
          <c:idx val="3"/>
          <c:order val="3"/>
          <c:tx>
            <c:strRef>
              <c:f>Standing!$AR$34</c:f>
              <c:strCache>
                <c:ptCount val="1"/>
                <c:pt idx="0">
                  <c:v>RHS</c:v>
                </c:pt>
              </c:strCache>
            </c:strRef>
          </c:tx>
          <c:spPr>
            <a:ln w="25400" cap="rnd">
              <a:solidFill>
                <a:schemeClr val="accent1"/>
              </a:solidFill>
              <a:round/>
            </a:ln>
            <a:effectLst/>
          </c:spPr>
          <c:marker>
            <c:symbol val="none"/>
          </c:marker>
          <c:xVal>
            <c:numRef>
              <c:f>Standing!$AR$36:$AR$40</c:f>
              <c:numCache>
                <c:formatCode>0.000</c:formatCode>
                <c:ptCount val="5"/>
                <c:pt idx="0">
                  <c:v>2</c:v>
                </c:pt>
                <c:pt idx="1">
                  <c:v>1.2999999999999998</c:v>
                </c:pt>
                <c:pt idx="2">
                  <c:v>1.2999999999999998</c:v>
                </c:pt>
                <c:pt idx="3">
                  <c:v>2</c:v>
                </c:pt>
                <c:pt idx="4">
                  <c:v>2</c:v>
                </c:pt>
              </c:numCache>
            </c:numRef>
          </c:xVal>
          <c:yVal>
            <c:numRef>
              <c:f>Standing!$AS$36:$AS$40</c:f>
              <c:numCache>
                <c:formatCode>0.000</c:formatCode>
                <c:ptCount val="5"/>
                <c:pt idx="0">
                  <c:v>1.907</c:v>
                </c:pt>
                <c:pt idx="1">
                  <c:v>1.907</c:v>
                </c:pt>
                <c:pt idx="2">
                  <c:v>-1.907</c:v>
                </c:pt>
                <c:pt idx="3">
                  <c:v>-1.907</c:v>
                </c:pt>
                <c:pt idx="4">
                  <c:v>1.907</c:v>
                </c:pt>
              </c:numCache>
            </c:numRef>
          </c:yVal>
          <c:smooth val="0"/>
        </c:ser>
        <c:ser>
          <c:idx val="4"/>
          <c:order val="4"/>
          <c:tx>
            <c:v>Net Resultant of All Actions</c:v>
          </c:tx>
          <c:spPr>
            <a:ln w="25400" cap="rnd">
              <a:noFill/>
              <a:round/>
            </a:ln>
            <a:effectLst/>
          </c:spPr>
          <c:marker>
            <c:symbol val="circle"/>
            <c:size val="5"/>
            <c:spPr>
              <a:solidFill>
                <a:schemeClr val="accent5"/>
              </a:solidFill>
              <a:ln w="9525">
                <a:solidFill>
                  <a:schemeClr val="accent5"/>
                </a:solidFill>
              </a:ln>
              <a:effectLst/>
            </c:spPr>
          </c:marker>
          <c:xVal>
            <c:numRef>
              <c:f>Standing!$BH$6:$BH$30</c:f>
              <c:numCache>
                <c:formatCode>0.00</c:formatCode>
                <c:ptCount val="25"/>
                <c:pt idx="0">
                  <c:v>-5.5916775032509761E-2</c:v>
                </c:pt>
                <c:pt idx="1">
                  <c:v>6.9472313803921507E-2</c:v>
                </c:pt>
                <c:pt idx="2">
                  <c:v>0.19012697926304242</c:v>
                </c:pt>
                <c:pt idx="3">
                  <c:v>0.29782480528507616</c:v>
                </c:pt>
                <c:pt idx="4">
                  <c:v>0.38522636300569363</c:v>
                </c:pt>
                <c:pt idx="5">
                  <c:v>0.44637538070413818</c:v>
                </c:pt>
                <c:pt idx="6">
                  <c:v>0.47710465387779066</c:v>
                </c:pt>
                <c:pt idx="7">
                  <c:v>0.47532003334239159</c:v>
                </c:pt>
                <c:pt idx="8">
                  <c:v>0.44114313803820338</c:v>
                </c:pt>
                <c:pt idx="9">
                  <c:v>0.37690306690021674</c:v>
                </c:pt>
                <c:pt idx="10">
                  <c:v>0.28697767461474843</c:v>
                </c:pt>
                <c:pt idx="11">
                  <c:v>0.17749522805731552</c:v>
                </c:pt>
                <c:pt idx="12">
                  <c:v>5.5916775032509844E-2</c:v>
                </c:pt>
                <c:pt idx="13">
                  <c:v>-6.9472313803921507E-2</c:v>
                </c:pt>
                <c:pt idx="14">
                  <c:v>-0.19012697926304226</c:v>
                </c:pt>
                <c:pt idx="15">
                  <c:v>-0.29782480528507604</c:v>
                </c:pt>
                <c:pt idx="16">
                  <c:v>-0.38522636300569363</c:v>
                </c:pt>
                <c:pt idx="17">
                  <c:v>-0.44637538070413812</c:v>
                </c:pt>
                <c:pt idx="18">
                  <c:v>-0.47710465387779061</c:v>
                </c:pt>
                <c:pt idx="19">
                  <c:v>-0.47532003334239159</c:v>
                </c:pt>
                <c:pt idx="20">
                  <c:v>-0.44114313803820343</c:v>
                </c:pt>
                <c:pt idx="21">
                  <c:v>-0.37690306690021691</c:v>
                </c:pt>
                <c:pt idx="22">
                  <c:v>-0.28697767461474827</c:v>
                </c:pt>
                <c:pt idx="23">
                  <c:v>-0.17749522805731557</c:v>
                </c:pt>
                <c:pt idx="24">
                  <c:v>-5.5916775032510128E-2</c:v>
                </c:pt>
              </c:numCache>
            </c:numRef>
          </c:xVal>
          <c:yVal>
            <c:numRef>
              <c:f>Standing!$BI$6:$BI$30</c:f>
              <c:numCache>
                <c:formatCode>0.00</c:formatCode>
                <c:ptCount val="25"/>
                <c:pt idx="0">
                  <c:v>0.47710465387779066</c:v>
                </c:pt>
                <c:pt idx="1">
                  <c:v>0.47532003334239159</c:v>
                </c:pt>
                <c:pt idx="2">
                  <c:v>0.44114313803820338</c:v>
                </c:pt>
                <c:pt idx="3">
                  <c:v>0.37690306690021674</c:v>
                </c:pt>
                <c:pt idx="4">
                  <c:v>0.28697767461474821</c:v>
                </c:pt>
                <c:pt idx="5">
                  <c:v>0.17749522805731541</c:v>
                </c:pt>
                <c:pt idx="6">
                  <c:v>5.5916775032509712E-2</c:v>
                </c:pt>
                <c:pt idx="7">
                  <c:v>-6.9472313803921534E-2</c:v>
                </c:pt>
                <c:pt idx="8">
                  <c:v>-0.19012697926304242</c:v>
                </c:pt>
                <c:pt idx="9">
                  <c:v>-0.29782480528507604</c:v>
                </c:pt>
                <c:pt idx="10">
                  <c:v>-0.38522636300569346</c:v>
                </c:pt>
                <c:pt idx="11">
                  <c:v>-0.44637538070413818</c:v>
                </c:pt>
                <c:pt idx="12">
                  <c:v>-0.47710465387779066</c:v>
                </c:pt>
                <c:pt idx="13">
                  <c:v>-0.47532003334239159</c:v>
                </c:pt>
                <c:pt idx="14">
                  <c:v>-0.44114313803820343</c:v>
                </c:pt>
                <c:pt idx="15">
                  <c:v>-0.37690306690021674</c:v>
                </c:pt>
                <c:pt idx="16">
                  <c:v>-0.28697767461474827</c:v>
                </c:pt>
                <c:pt idx="17">
                  <c:v>-0.17749522805731552</c:v>
                </c:pt>
                <c:pt idx="18">
                  <c:v>-5.591677503251008E-2</c:v>
                </c:pt>
                <c:pt idx="19">
                  <c:v>6.9472313803921493E-2</c:v>
                </c:pt>
                <c:pt idx="20">
                  <c:v>0.19012697926304226</c:v>
                </c:pt>
                <c:pt idx="21">
                  <c:v>0.29782480528507582</c:v>
                </c:pt>
                <c:pt idx="22">
                  <c:v>0.38522636300569363</c:v>
                </c:pt>
                <c:pt idx="23">
                  <c:v>0.44637538070413812</c:v>
                </c:pt>
                <c:pt idx="24">
                  <c:v>0.47710465387779061</c:v>
                </c:pt>
              </c:numCache>
            </c:numRef>
          </c:yVal>
          <c:smooth val="0"/>
        </c:ser>
        <c:dLbls>
          <c:showLegendKey val="0"/>
          <c:showVal val="0"/>
          <c:showCatName val="0"/>
          <c:showSerName val="0"/>
          <c:showPercent val="0"/>
          <c:showBubbleSize val="0"/>
        </c:dLbls>
        <c:axId val="456462792"/>
        <c:axId val="456463968"/>
      </c:scatterChart>
      <c:valAx>
        <c:axId val="456462792"/>
        <c:scaling>
          <c:orientation val="minMax"/>
          <c:max val="5"/>
          <c:min val="-5"/>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63968"/>
        <c:crosses val="autoZero"/>
        <c:crossBetween val="midCat"/>
        <c:minorUnit val="0.5"/>
      </c:valAx>
      <c:valAx>
        <c:axId val="456463968"/>
        <c:scaling>
          <c:orientation val="minMax"/>
          <c:max val="5"/>
          <c:min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62792"/>
        <c:crosses val="autoZero"/>
        <c:crossBetween val="midCat"/>
        <c:minorUnit val="0.5"/>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Travelling!$Q$2:$Q$5</c:f>
              <c:strCache>
                <c:ptCount val="4"/>
                <c:pt idx="0">
                  <c:v>Min bearing pressure R.H. track (kN/m^2)</c:v>
                </c:pt>
              </c:strCache>
            </c:strRef>
          </c:tx>
          <c:spPr>
            <a:ln w="19050" cap="rnd">
              <a:solidFill>
                <a:schemeClr val="accent1"/>
              </a:solidFill>
              <a:round/>
            </a:ln>
            <a:effectLst/>
          </c:spPr>
          <c:marker>
            <c:symbol val="none"/>
          </c:marker>
          <c:xVal>
            <c:numRef>
              <c:f>Travelling!$L$6:$L$29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Travelling!$Q$6:$Q$29</c:f>
              <c:numCache>
                <c:formatCode>0</c:formatCode>
                <c:ptCount val="24"/>
                <c:pt idx="0">
                  <c:v>17.023677616280853</c:v>
                </c:pt>
                <c:pt idx="1">
                  <c:v>18.569417377212705</c:v>
                </c:pt>
                <c:pt idx="2">
                  <c:v>24.108110668681533</c:v>
                </c:pt>
                <c:pt idx="3">
                  <c:v>33.946602965008495</c:v>
                </c:pt>
                <c:pt idx="4">
                  <c:v>47.796291515687727</c:v>
                </c:pt>
                <c:pt idx="5">
                  <c:v>64.690470251512494</c:v>
                </c:pt>
                <c:pt idx="6">
                  <c:v>83.056337922350679</c:v>
                </c:pt>
                <c:pt idx="7">
                  <c:v>81.046285283491159</c:v>
                </c:pt>
                <c:pt idx="8">
                  <c:v>62.74995252003287</c:v>
                </c:pt>
                <c:pt idx="9">
                  <c:v>46.120041097926133</c:v>
                </c:pt>
                <c:pt idx="10">
                  <c:v>32.671726238971026</c:v>
                </c:pt>
                <c:pt idx="11">
                  <c:v>23.298615694243786</c:v>
                </c:pt>
                <c:pt idx="12">
                  <c:v>18.217980569333964</c:v>
                </c:pt>
                <c:pt idx="13">
                  <c:v>17.068886800675809</c:v>
                </c:pt>
                <c:pt idx="14">
                  <c:v>19.126278100788586</c:v>
                </c:pt>
                <c:pt idx="15">
                  <c:v>23.56564838355807</c:v>
                </c:pt>
                <c:pt idx="16">
                  <c:v>29.702587660008287</c:v>
                </c:pt>
                <c:pt idx="17">
                  <c:v>37.141746342391244</c:v>
                </c:pt>
                <c:pt idx="18">
                  <c:v>45.797648948529599</c:v>
                </c:pt>
                <c:pt idx="19">
                  <c:v>44.794876160279919</c:v>
                </c:pt>
                <c:pt idx="20">
                  <c:v>36.274757720689742</c:v>
                </c:pt>
                <c:pt idx="21">
                  <c:v>28.96797771686251</c:v>
                </c:pt>
                <c:pt idx="22">
                  <c:v>22.990606890422612</c:v>
                </c:pt>
                <c:pt idx="23">
                  <c:v>18.772865867290097</c:v>
                </c:pt>
              </c:numCache>
            </c:numRef>
          </c:yVal>
          <c:smooth val="0"/>
        </c:ser>
        <c:ser>
          <c:idx val="1"/>
          <c:order val="1"/>
          <c:tx>
            <c:strRef>
              <c:f>Travelling!$O$2:$O$5</c:f>
              <c:strCache>
                <c:ptCount val="4"/>
                <c:pt idx="0">
                  <c:v>Min pressure L.H. track (kN/m^2)</c:v>
                </c:pt>
              </c:strCache>
            </c:strRef>
          </c:tx>
          <c:spPr>
            <a:ln w="19050" cap="rnd">
              <a:solidFill>
                <a:schemeClr val="accent2"/>
              </a:solidFill>
              <a:round/>
            </a:ln>
            <a:effectLst/>
          </c:spPr>
          <c:marker>
            <c:symbol val="none"/>
          </c:marker>
          <c:xVal>
            <c:numRef>
              <c:f>Travelling!$L$6:$L$29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Travelling!$O$6:$O$29</c:f>
              <c:numCache>
                <c:formatCode>0</c:formatCode>
                <c:ptCount val="24"/>
                <c:pt idx="0">
                  <c:v>18.217980569333964</c:v>
                </c:pt>
                <c:pt idx="1">
                  <c:v>17.068886800675809</c:v>
                </c:pt>
                <c:pt idx="2">
                  <c:v>19.126278100788589</c:v>
                </c:pt>
                <c:pt idx="3">
                  <c:v>23.56564838355807</c:v>
                </c:pt>
                <c:pt idx="4">
                  <c:v>29.702587660008295</c:v>
                </c:pt>
                <c:pt idx="5">
                  <c:v>37.141746342391251</c:v>
                </c:pt>
                <c:pt idx="6">
                  <c:v>45.797648948529627</c:v>
                </c:pt>
                <c:pt idx="7">
                  <c:v>44.794876160279919</c:v>
                </c:pt>
                <c:pt idx="8">
                  <c:v>36.274757720689728</c:v>
                </c:pt>
                <c:pt idx="9">
                  <c:v>28.967977716862492</c:v>
                </c:pt>
                <c:pt idx="10">
                  <c:v>22.99060689042263</c:v>
                </c:pt>
                <c:pt idx="11">
                  <c:v>18.772865867290093</c:v>
                </c:pt>
                <c:pt idx="12">
                  <c:v>17.023677616280853</c:v>
                </c:pt>
                <c:pt idx="13">
                  <c:v>18.569417377212705</c:v>
                </c:pt>
                <c:pt idx="14">
                  <c:v>24.108110668681523</c:v>
                </c:pt>
                <c:pt idx="15">
                  <c:v>33.946602965008488</c:v>
                </c:pt>
                <c:pt idx="16">
                  <c:v>47.79629151568772</c:v>
                </c:pt>
                <c:pt idx="17">
                  <c:v>64.690470251512465</c:v>
                </c:pt>
                <c:pt idx="18">
                  <c:v>83.056337922350636</c:v>
                </c:pt>
                <c:pt idx="19">
                  <c:v>81.046285283491159</c:v>
                </c:pt>
                <c:pt idx="20">
                  <c:v>62.749952520032892</c:v>
                </c:pt>
                <c:pt idx="21">
                  <c:v>46.120041097926169</c:v>
                </c:pt>
                <c:pt idx="22">
                  <c:v>32.671726238971004</c:v>
                </c:pt>
                <c:pt idx="23">
                  <c:v>23.2986156942438</c:v>
                </c:pt>
              </c:numCache>
            </c:numRef>
          </c:yVal>
          <c:smooth val="0"/>
        </c:ser>
        <c:dLbls>
          <c:showLegendKey val="0"/>
          <c:showVal val="0"/>
          <c:showCatName val="0"/>
          <c:showSerName val="0"/>
          <c:showPercent val="0"/>
          <c:showBubbleSize val="0"/>
        </c:dLbls>
        <c:axId val="539774000"/>
        <c:axId val="540977968"/>
      </c:scatterChart>
      <c:valAx>
        <c:axId val="539774000"/>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977968"/>
        <c:crosses val="autoZero"/>
        <c:crossBetween val="midCat"/>
        <c:majorUnit val="45"/>
        <c:minorUnit val="15"/>
      </c:valAx>
      <c:valAx>
        <c:axId val="540977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7740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Position of Non-Slewing Actions</c:v>
          </c:tx>
          <c:spPr>
            <a:ln w="25400" cap="rnd">
              <a:noFill/>
              <a:round/>
            </a:ln>
            <a:effectLst/>
          </c:spPr>
          <c:marker>
            <c:symbol val="square"/>
            <c:size val="8"/>
            <c:spPr>
              <a:solidFill>
                <a:srgbClr val="FF0000"/>
              </a:solidFill>
              <a:ln w="9525">
                <a:solidFill>
                  <a:srgbClr val="FF0000"/>
                </a:solidFill>
              </a:ln>
              <a:effectLst/>
            </c:spPr>
          </c:marker>
          <c:xVal>
            <c:numRef>
              <c:f>Handling!$AP$6:$AP$30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xVal>
          <c:yVal>
            <c:numRef>
              <c:f>Handling!$AQ$6:$AQ$30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0"/>
        </c:ser>
        <c:ser>
          <c:idx val="1"/>
          <c:order val="1"/>
          <c:tx>
            <c:v>Resultant of Slewing Actions</c:v>
          </c:tx>
          <c:spPr>
            <a:ln w="25400" cap="rnd">
              <a:noFill/>
              <a:round/>
            </a:ln>
            <a:effectLst/>
          </c:spPr>
          <c:marker>
            <c:symbol val="circle"/>
            <c:size val="5"/>
            <c:spPr>
              <a:noFill/>
              <a:ln w="9525">
                <a:solidFill>
                  <a:schemeClr val="accent2"/>
                </a:solidFill>
              </a:ln>
              <a:effectLst/>
            </c:spPr>
          </c:marker>
          <c:xVal>
            <c:numRef>
              <c:f>Handling!$BA$6:$BA$30</c:f>
              <c:numCache>
                <c:formatCode>0.00</c:formatCode>
                <c:ptCount val="25"/>
                <c:pt idx="0">
                  <c:v>-7.2957112639638597E-2</c:v>
                </c:pt>
                <c:pt idx="1">
                  <c:v>0.12645462460618967</c:v>
                </c:pt>
                <c:pt idx="2">
                  <c:v>0.31724868816125401</c:v>
                </c:pt>
                <c:pt idx="3">
                  <c:v>0.48642277789637489</c:v>
                </c:pt>
                <c:pt idx="4">
                  <c:v>0.62244795916950557</c:v>
                </c:pt>
                <c:pt idx="5">
                  <c:v>0.71605434066912299</c:v>
                </c:pt>
                <c:pt idx="6">
                  <c:v>0.76086280218788771</c:v>
                </c:pt>
                <c:pt idx="7">
                  <c:v>0.75381972112277962</c:v>
                </c:pt>
                <c:pt idx="8">
                  <c:v>0.69540507180914413</c:v>
                </c:pt>
                <c:pt idx="9">
                  <c:v>0.58959971606293315</c:v>
                </c:pt>
                <c:pt idx="10">
                  <c:v>0.44361411402663359</c:v>
                </c:pt>
                <c:pt idx="11">
                  <c:v>0.26739694322640462</c:v>
                </c:pt>
                <c:pt idx="12">
                  <c:v>7.2957112639638361E-2</c:v>
                </c:pt>
                <c:pt idx="13">
                  <c:v>-0.1264546246061897</c:v>
                </c:pt>
                <c:pt idx="14">
                  <c:v>-0.31724868816125418</c:v>
                </c:pt>
                <c:pt idx="15">
                  <c:v>-0.48642277789637506</c:v>
                </c:pt>
                <c:pt idx="16">
                  <c:v>-0.62244795916950557</c:v>
                </c:pt>
                <c:pt idx="17">
                  <c:v>-0.71605434066912321</c:v>
                </c:pt>
                <c:pt idx="18">
                  <c:v>-0.7608628021878876</c:v>
                </c:pt>
                <c:pt idx="19">
                  <c:v>-0.75381972112277962</c:v>
                </c:pt>
                <c:pt idx="20">
                  <c:v>-0.69540507180914435</c:v>
                </c:pt>
                <c:pt idx="21">
                  <c:v>-0.58959971606293371</c:v>
                </c:pt>
                <c:pt idx="22">
                  <c:v>-0.4436141140266337</c:v>
                </c:pt>
                <c:pt idx="23">
                  <c:v>-0.26739694322640506</c:v>
                </c:pt>
                <c:pt idx="24">
                  <c:v>-7.2957112639639124E-2</c:v>
                </c:pt>
              </c:numCache>
            </c:numRef>
          </c:xVal>
          <c:yVal>
            <c:numRef>
              <c:f>Handling!$BB$6:$BB$30</c:f>
              <c:numCache>
                <c:formatCode>0.00</c:formatCode>
                <c:ptCount val="25"/>
                <c:pt idx="0">
                  <c:v>0.76086280218788771</c:v>
                </c:pt>
                <c:pt idx="1">
                  <c:v>0.75381972112277962</c:v>
                </c:pt>
                <c:pt idx="2">
                  <c:v>0.69540507180914413</c:v>
                </c:pt>
                <c:pt idx="3">
                  <c:v>0.58959971606293338</c:v>
                </c:pt>
                <c:pt idx="4">
                  <c:v>0.44361411402663359</c:v>
                </c:pt>
                <c:pt idx="5">
                  <c:v>0.26739694322640478</c:v>
                </c:pt>
                <c:pt idx="6">
                  <c:v>7.2957112639638652E-2</c:v>
                </c:pt>
                <c:pt idx="7">
                  <c:v>-0.12645462460618975</c:v>
                </c:pt>
                <c:pt idx="8">
                  <c:v>-0.31724868816125401</c:v>
                </c:pt>
                <c:pt idx="9">
                  <c:v>-0.48642277789637506</c:v>
                </c:pt>
                <c:pt idx="10">
                  <c:v>-0.62244795916950557</c:v>
                </c:pt>
                <c:pt idx="11">
                  <c:v>-0.7160543406691231</c:v>
                </c:pt>
                <c:pt idx="12">
                  <c:v>-0.76086280218788771</c:v>
                </c:pt>
                <c:pt idx="13">
                  <c:v>-0.75381972112277962</c:v>
                </c:pt>
                <c:pt idx="14">
                  <c:v>-0.69540507180914413</c:v>
                </c:pt>
                <c:pt idx="15">
                  <c:v>-0.58959971606293315</c:v>
                </c:pt>
                <c:pt idx="16">
                  <c:v>-0.4436141140266337</c:v>
                </c:pt>
                <c:pt idx="17">
                  <c:v>-0.26739694322640439</c:v>
                </c:pt>
                <c:pt idx="18">
                  <c:v>-7.2957112639639082E-2</c:v>
                </c:pt>
                <c:pt idx="19">
                  <c:v>0.12645462460618967</c:v>
                </c:pt>
                <c:pt idx="20">
                  <c:v>0.31724868816125379</c:v>
                </c:pt>
                <c:pt idx="21">
                  <c:v>0.48642277789637445</c:v>
                </c:pt>
                <c:pt idx="22">
                  <c:v>0.62244795916950557</c:v>
                </c:pt>
                <c:pt idx="23">
                  <c:v>0.71605434066912288</c:v>
                </c:pt>
                <c:pt idx="24">
                  <c:v>0.7608628021878876</c:v>
                </c:pt>
              </c:numCache>
            </c:numRef>
          </c:yVal>
          <c:smooth val="0"/>
        </c:ser>
        <c:ser>
          <c:idx val="2"/>
          <c:order val="2"/>
          <c:tx>
            <c:strRef>
              <c:f>Handling!$AO$34</c:f>
              <c:strCache>
                <c:ptCount val="1"/>
                <c:pt idx="0">
                  <c:v>LHS</c:v>
                </c:pt>
              </c:strCache>
            </c:strRef>
          </c:tx>
          <c:spPr>
            <a:ln w="25400" cap="rnd">
              <a:solidFill>
                <a:schemeClr val="accent1"/>
              </a:solidFill>
              <a:round/>
            </a:ln>
            <a:effectLst/>
          </c:spPr>
          <c:marker>
            <c:symbol val="none"/>
          </c:marker>
          <c:xVal>
            <c:numRef>
              <c:f>Handling!$AO$36:$AO$40</c:f>
              <c:numCache>
                <c:formatCode>0.000</c:formatCode>
                <c:ptCount val="5"/>
                <c:pt idx="0">
                  <c:v>-2</c:v>
                </c:pt>
                <c:pt idx="1">
                  <c:v>-1.2999999999999998</c:v>
                </c:pt>
                <c:pt idx="2">
                  <c:v>-1.2999999999999998</c:v>
                </c:pt>
                <c:pt idx="3">
                  <c:v>-2</c:v>
                </c:pt>
                <c:pt idx="4">
                  <c:v>-2</c:v>
                </c:pt>
              </c:numCache>
            </c:numRef>
          </c:xVal>
          <c:yVal>
            <c:numRef>
              <c:f>Handling!$AP$36:$AP$40</c:f>
              <c:numCache>
                <c:formatCode>0.000</c:formatCode>
                <c:ptCount val="5"/>
                <c:pt idx="0">
                  <c:v>1.907</c:v>
                </c:pt>
                <c:pt idx="1">
                  <c:v>1.907</c:v>
                </c:pt>
                <c:pt idx="2">
                  <c:v>-1.907</c:v>
                </c:pt>
                <c:pt idx="3">
                  <c:v>-1.907</c:v>
                </c:pt>
                <c:pt idx="4">
                  <c:v>1.907</c:v>
                </c:pt>
              </c:numCache>
            </c:numRef>
          </c:yVal>
          <c:smooth val="0"/>
        </c:ser>
        <c:ser>
          <c:idx val="3"/>
          <c:order val="3"/>
          <c:tx>
            <c:strRef>
              <c:f>Handling!$AR$34</c:f>
              <c:strCache>
                <c:ptCount val="1"/>
                <c:pt idx="0">
                  <c:v>RHS</c:v>
                </c:pt>
              </c:strCache>
            </c:strRef>
          </c:tx>
          <c:spPr>
            <a:ln w="25400" cap="rnd">
              <a:solidFill>
                <a:schemeClr val="accent1"/>
              </a:solidFill>
              <a:round/>
            </a:ln>
            <a:effectLst/>
          </c:spPr>
          <c:marker>
            <c:symbol val="none"/>
          </c:marker>
          <c:xVal>
            <c:numRef>
              <c:f>Handling!$AR$36:$AR$40</c:f>
              <c:numCache>
                <c:formatCode>0.000</c:formatCode>
                <c:ptCount val="5"/>
                <c:pt idx="0">
                  <c:v>2</c:v>
                </c:pt>
                <c:pt idx="1">
                  <c:v>1.2999999999999998</c:v>
                </c:pt>
                <c:pt idx="2">
                  <c:v>1.2999999999999998</c:v>
                </c:pt>
                <c:pt idx="3">
                  <c:v>2</c:v>
                </c:pt>
                <c:pt idx="4">
                  <c:v>2</c:v>
                </c:pt>
              </c:numCache>
            </c:numRef>
          </c:xVal>
          <c:yVal>
            <c:numRef>
              <c:f>Handling!$AS$36:$AS$40</c:f>
              <c:numCache>
                <c:formatCode>0.000</c:formatCode>
                <c:ptCount val="5"/>
                <c:pt idx="0">
                  <c:v>1.907</c:v>
                </c:pt>
                <c:pt idx="1">
                  <c:v>1.907</c:v>
                </c:pt>
                <c:pt idx="2">
                  <c:v>-1.907</c:v>
                </c:pt>
                <c:pt idx="3">
                  <c:v>-1.907</c:v>
                </c:pt>
                <c:pt idx="4">
                  <c:v>1.907</c:v>
                </c:pt>
              </c:numCache>
            </c:numRef>
          </c:yVal>
          <c:smooth val="0"/>
        </c:ser>
        <c:ser>
          <c:idx val="4"/>
          <c:order val="4"/>
          <c:tx>
            <c:v>Net Resultant of All Actions</c:v>
          </c:tx>
          <c:spPr>
            <a:ln w="25400" cap="rnd">
              <a:noFill/>
              <a:round/>
            </a:ln>
            <a:effectLst/>
          </c:spPr>
          <c:marker>
            <c:symbol val="circle"/>
            <c:size val="5"/>
            <c:spPr>
              <a:solidFill>
                <a:schemeClr val="accent5"/>
              </a:solidFill>
              <a:ln w="9525">
                <a:solidFill>
                  <a:schemeClr val="accent5"/>
                </a:solidFill>
              </a:ln>
              <a:effectLst/>
            </c:spPr>
          </c:marker>
          <c:xVal>
            <c:numRef>
              <c:f>Handling!$BH$6:$BH$30</c:f>
              <c:numCache>
                <c:formatCode>0.00</c:formatCode>
                <c:ptCount val="25"/>
                <c:pt idx="0">
                  <c:v>-5.4472622932402195E-2</c:v>
                </c:pt>
                <c:pt idx="1">
                  <c:v>9.4415949795810902E-2</c:v>
                </c:pt>
                <c:pt idx="2">
                  <c:v>0.23687023157517387</c:v>
                </c:pt>
                <c:pt idx="3">
                  <c:v>0.36318219851925471</c:v>
                </c:pt>
                <c:pt idx="4">
                  <c:v>0.46474389882120909</c:v>
                </c:pt>
                <c:pt idx="5">
                  <c:v>0.53463407044410438</c:v>
                </c:pt>
                <c:pt idx="6">
                  <c:v>0.56808981369080991</c:v>
                </c:pt>
                <c:pt idx="7">
                  <c:v>0.5628311749472924</c:v>
                </c:pt>
                <c:pt idx="8">
                  <c:v>0.51921652175361122</c:v>
                </c:pt>
                <c:pt idx="9">
                  <c:v>0.44021812064829347</c:v>
                </c:pt>
                <c:pt idx="10">
                  <c:v>0.33121958211563601</c:v>
                </c:pt>
                <c:pt idx="11">
                  <c:v>0.19964897642803769</c:v>
                </c:pt>
                <c:pt idx="12">
                  <c:v>5.4472622932402022E-2</c:v>
                </c:pt>
                <c:pt idx="13">
                  <c:v>-9.4415949795810916E-2</c:v>
                </c:pt>
                <c:pt idx="14">
                  <c:v>-0.23687023157517398</c:v>
                </c:pt>
                <c:pt idx="15">
                  <c:v>-0.36318219851925487</c:v>
                </c:pt>
                <c:pt idx="16">
                  <c:v>-0.46474389882120909</c:v>
                </c:pt>
                <c:pt idx="17">
                  <c:v>-0.5346340704441046</c:v>
                </c:pt>
                <c:pt idx="18">
                  <c:v>-0.56808981369080991</c:v>
                </c:pt>
                <c:pt idx="19">
                  <c:v>-0.5628311749472924</c:v>
                </c:pt>
                <c:pt idx="20">
                  <c:v>-0.51921652175361144</c:v>
                </c:pt>
                <c:pt idx="21">
                  <c:v>-0.4402181206482938</c:v>
                </c:pt>
                <c:pt idx="22">
                  <c:v>-0.33121958211563607</c:v>
                </c:pt>
                <c:pt idx="23">
                  <c:v>-0.19964897642803803</c:v>
                </c:pt>
                <c:pt idx="24">
                  <c:v>-5.4472622932402591E-2</c:v>
                </c:pt>
              </c:numCache>
            </c:numRef>
          </c:xVal>
          <c:yVal>
            <c:numRef>
              <c:f>Handling!$BI$6:$BI$30</c:f>
              <c:numCache>
                <c:formatCode>0.00</c:formatCode>
                <c:ptCount val="25"/>
                <c:pt idx="0">
                  <c:v>0.56808981369080991</c:v>
                </c:pt>
                <c:pt idx="1">
                  <c:v>0.5628311749472924</c:v>
                </c:pt>
                <c:pt idx="2">
                  <c:v>0.51921652175361122</c:v>
                </c:pt>
                <c:pt idx="3">
                  <c:v>0.44021812064829358</c:v>
                </c:pt>
                <c:pt idx="4">
                  <c:v>0.33121958211563601</c:v>
                </c:pt>
                <c:pt idx="5">
                  <c:v>0.19964897642803781</c:v>
                </c:pt>
                <c:pt idx="6">
                  <c:v>5.4472622932402237E-2</c:v>
                </c:pt>
                <c:pt idx="7">
                  <c:v>-9.4415949795810958E-2</c:v>
                </c:pt>
                <c:pt idx="8">
                  <c:v>-0.23687023157517387</c:v>
                </c:pt>
                <c:pt idx="9">
                  <c:v>-0.36318219851925487</c:v>
                </c:pt>
                <c:pt idx="10">
                  <c:v>-0.46474389882120909</c:v>
                </c:pt>
                <c:pt idx="11">
                  <c:v>-0.53463407044410449</c:v>
                </c:pt>
                <c:pt idx="12">
                  <c:v>-0.56808981369080991</c:v>
                </c:pt>
                <c:pt idx="13">
                  <c:v>-0.5628311749472924</c:v>
                </c:pt>
                <c:pt idx="14">
                  <c:v>-0.51921652175361122</c:v>
                </c:pt>
                <c:pt idx="15">
                  <c:v>-0.44021812064829347</c:v>
                </c:pt>
                <c:pt idx="16">
                  <c:v>-0.33121958211563607</c:v>
                </c:pt>
                <c:pt idx="17">
                  <c:v>-0.1996489764280375</c:v>
                </c:pt>
                <c:pt idx="18">
                  <c:v>-5.4472622932402556E-2</c:v>
                </c:pt>
                <c:pt idx="19">
                  <c:v>9.4415949795810902E-2</c:v>
                </c:pt>
                <c:pt idx="20">
                  <c:v>0.23687023157517367</c:v>
                </c:pt>
                <c:pt idx="21">
                  <c:v>0.36318219851925432</c:v>
                </c:pt>
                <c:pt idx="22">
                  <c:v>0.46474389882120909</c:v>
                </c:pt>
                <c:pt idx="23">
                  <c:v>0.53463407044410438</c:v>
                </c:pt>
                <c:pt idx="24">
                  <c:v>0.56808981369080991</c:v>
                </c:pt>
              </c:numCache>
            </c:numRef>
          </c:yVal>
          <c:smooth val="0"/>
        </c:ser>
        <c:dLbls>
          <c:showLegendKey val="0"/>
          <c:showVal val="0"/>
          <c:showCatName val="0"/>
          <c:showSerName val="0"/>
          <c:showPercent val="0"/>
          <c:showBubbleSize val="0"/>
        </c:dLbls>
        <c:axId val="540977184"/>
        <c:axId val="540975224"/>
      </c:scatterChart>
      <c:valAx>
        <c:axId val="540977184"/>
        <c:scaling>
          <c:orientation val="minMax"/>
          <c:max val="5"/>
          <c:min val="-5"/>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975224"/>
        <c:crosses val="autoZero"/>
        <c:crossBetween val="midCat"/>
        <c:minorUnit val="0.5"/>
      </c:valAx>
      <c:valAx>
        <c:axId val="540975224"/>
        <c:scaling>
          <c:orientation val="minMax"/>
          <c:max val="5"/>
          <c:min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977184"/>
        <c:crosses val="autoZero"/>
        <c:crossBetween val="midCat"/>
        <c:minorUnit val="0.5"/>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Handling!$BL$3</c:f>
              <c:strCache>
                <c:ptCount val="1"/>
                <c:pt idx="0">
                  <c:v>Vector Sum of Moments</c:v>
                </c:pt>
              </c:strCache>
            </c:strRef>
          </c:tx>
          <c:spPr>
            <a:ln w="19050" cap="rnd">
              <a:solidFill>
                <a:schemeClr val="accent1"/>
              </a:solidFill>
              <a:round/>
            </a:ln>
            <a:effectLst/>
          </c:spPr>
          <c:marker>
            <c:symbol val="none"/>
          </c:marker>
          <c:xVal>
            <c:numRef>
              <c:f>Handling!$AM$6:$AM$30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Handling!$BL$6:$BL$30</c:f>
              <c:numCache>
                <c:formatCode>#,##0</c:formatCode>
                <c:ptCount val="25"/>
                <c:pt idx="0">
                  <c:v>220.97014159210136</c:v>
                </c:pt>
                <c:pt idx="1">
                  <c:v>220.97014159210133</c:v>
                </c:pt>
                <c:pt idx="2">
                  <c:v>220.97014159210133</c:v>
                </c:pt>
                <c:pt idx="3">
                  <c:v>220.97014159210136</c:v>
                </c:pt>
                <c:pt idx="4">
                  <c:v>220.97014159210133</c:v>
                </c:pt>
                <c:pt idx="5">
                  <c:v>220.97014159210133</c:v>
                </c:pt>
                <c:pt idx="6">
                  <c:v>220.97014159210136</c:v>
                </c:pt>
                <c:pt idx="7">
                  <c:v>220.97014159210133</c:v>
                </c:pt>
                <c:pt idx="8">
                  <c:v>220.97014159210133</c:v>
                </c:pt>
                <c:pt idx="9">
                  <c:v>220.97014159210136</c:v>
                </c:pt>
                <c:pt idx="10">
                  <c:v>220.97014159210133</c:v>
                </c:pt>
                <c:pt idx="11">
                  <c:v>220.97014159210136</c:v>
                </c:pt>
                <c:pt idx="12">
                  <c:v>220.97014159210136</c:v>
                </c:pt>
                <c:pt idx="13">
                  <c:v>220.97014159210133</c:v>
                </c:pt>
                <c:pt idx="14">
                  <c:v>220.97014159210133</c:v>
                </c:pt>
                <c:pt idx="15">
                  <c:v>220.97014159210136</c:v>
                </c:pt>
                <c:pt idx="16">
                  <c:v>220.97014159210133</c:v>
                </c:pt>
                <c:pt idx="17">
                  <c:v>220.97014159210136</c:v>
                </c:pt>
                <c:pt idx="18">
                  <c:v>220.97014159210133</c:v>
                </c:pt>
                <c:pt idx="19">
                  <c:v>220.97014159210133</c:v>
                </c:pt>
                <c:pt idx="20">
                  <c:v>220.97014159210133</c:v>
                </c:pt>
                <c:pt idx="21">
                  <c:v>220.97014159210136</c:v>
                </c:pt>
                <c:pt idx="22">
                  <c:v>220.97014159210133</c:v>
                </c:pt>
                <c:pt idx="23">
                  <c:v>220.97014159210133</c:v>
                </c:pt>
                <c:pt idx="24">
                  <c:v>220.97014159210133</c:v>
                </c:pt>
              </c:numCache>
            </c:numRef>
          </c:yVal>
          <c:smooth val="0"/>
        </c:ser>
        <c:ser>
          <c:idx val="1"/>
          <c:order val="1"/>
          <c:tx>
            <c:v>Fore-aft avge track pressure</c:v>
          </c:tx>
          <c:spPr>
            <a:ln w="19050" cap="rnd">
              <a:solidFill>
                <a:schemeClr val="accent2"/>
              </a:solidFill>
              <a:round/>
            </a:ln>
            <a:effectLst/>
          </c:spPr>
          <c:marker>
            <c:symbol val="none"/>
          </c:marker>
          <c:xVal>
            <c:numRef>
              <c:f>Standing!$AM$6:$AM$29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Standing!$M$6:$M$29</c:f>
            </c:numRef>
          </c:yVal>
          <c:smooth val="0"/>
        </c:ser>
        <c:ser>
          <c:idx val="2"/>
          <c:order val="2"/>
          <c:tx>
            <c:v>Max Track Pressure</c:v>
          </c:tx>
          <c:spPr>
            <a:ln w="19050" cap="rnd">
              <a:solidFill>
                <a:schemeClr val="accent3"/>
              </a:solidFill>
              <a:round/>
            </a:ln>
            <a:effectLst/>
          </c:spPr>
          <c:marker>
            <c:symbol val="none"/>
          </c:marker>
          <c:yVal>
            <c:numLit>
              <c:formatCode>General</c:formatCode>
              <c:ptCount val="1"/>
              <c:pt idx="0">
                <c:v>1</c:v>
              </c:pt>
            </c:numLit>
          </c:yVal>
          <c:smooth val="0"/>
        </c:ser>
        <c:dLbls>
          <c:showLegendKey val="0"/>
          <c:showVal val="0"/>
          <c:showCatName val="0"/>
          <c:showSerName val="0"/>
          <c:showPercent val="0"/>
          <c:showBubbleSize val="0"/>
        </c:dLbls>
        <c:axId val="540974832"/>
        <c:axId val="540975616"/>
      </c:scatterChart>
      <c:valAx>
        <c:axId val="540974832"/>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975616"/>
        <c:crosses val="autoZero"/>
        <c:crossBetween val="midCat"/>
        <c:majorUnit val="45"/>
        <c:minorUnit val="15"/>
      </c:valAx>
      <c:valAx>
        <c:axId val="540975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Vector sum of moments (kNm)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9748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Handling!$AA$2:$AA$4</c:f>
              <c:strCache>
                <c:ptCount val="3"/>
                <c:pt idx="0">
                  <c:v>Force on track</c:v>
                </c:pt>
                <c:pt idx="2">
                  <c:v>PL</c:v>
                </c:pt>
              </c:strCache>
            </c:strRef>
          </c:tx>
          <c:spPr>
            <a:ln w="19050" cap="rnd">
              <a:solidFill>
                <a:schemeClr val="accent1"/>
              </a:solidFill>
              <a:round/>
            </a:ln>
            <a:effectLst/>
          </c:spPr>
          <c:marker>
            <c:symbol val="none"/>
          </c:marker>
          <c:xVal>
            <c:numRef>
              <c:f>Handling!$AM$6:$AM$30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Handling!$AA$6:$AA$30</c:f>
              <c:numCache>
                <c:formatCode>0</c:formatCode>
                <c:ptCount val="25"/>
                <c:pt idx="0" formatCode="0.0">
                  <c:v>199.9886136363636</c:v>
                </c:pt>
                <c:pt idx="1">
                  <c:v>182.51926925054116</c:v>
                </c:pt>
                <c:pt idx="2">
                  <c:v>165.80487094556554</c:v>
                </c:pt>
                <c:pt idx="3">
                  <c:v>150.98447734407162</c:v>
                </c:pt>
                <c:pt idx="4">
                  <c:v>139.0680737781428</c:v>
                </c:pt>
                <c:pt idx="5">
                  <c:v>130.86774345800913</c:v>
                </c:pt>
                <c:pt idx="6">
                  <c:v>126.94232534330109</c:v>
                </c:pt>
                <c:pt idx="7">
                  <c:v>127.55933019147592</c:v>
                </c:pt>
                <c:pt idx="8">
                  <c:v>132.67671014177918</c:v>
                </c:pt>
                <c:pt idx="9">
                  <c:v>141.94572420746798</c:v>
                </c:pt>
                <c:pt idx="10">
                  <c:v>154.73470439773556</c:v>
                </c:pt>
                <c:pt idx="11">
                  <c:v>170.17210284740426</c:v>
                </c:pt>
                <c:pt idx="12">
                  <c:v>187.20588636363635</c:v>
                </c:pt>
                <c:pt idx="13">
                  <c:v>204.67523074945879</c:v>
                </c:pt>
                <c:pt idx="14">
                  <c:v>221.38962905443444</c:v>
                </c:pt>
                <c:pt idx="15">
                  <c:v>236.21002265592836</c:v>
                </c:pt>
                <c:pt idx="16">
                  <c:v>248.12642622185712</c:v>
                </c:pt>
                <c:pt idx="17">
                  <c:v>256.32675654199085</c:v>
                </c:pt>
                <c:pt idx="18">
                  <c:v>260.25217465669886</c:v>
                </c:pt>
                <c:pt idx="19">
                  <c:v>259.63516980852404</c:v>
                </c:pt>
                <c:pt idx="20">
                  <c:v>254.51778985822079</c:v>
                </c:pt>
                <c:pt idx="21">
                  <c:v>245.24877579253203</c:v>
                </c:pt>
                <c:pt idx="22">
                  <c:v>232.45979560226439</c:v>
                </c:pt>
                <c:pt idx="23">
                  <c:v>217.02239715259572</c:v>
                </c:pt>
                <c:pt idx="24">
                  <c:v>199.98861363636365</c:v>
                </c:pt>
              </c:numCache>
            </c:numRef>
          </c:yVal>
          <c:smooth val="0"/>
        </c:ser>
        <c:ser>
          <c:idx val="1"/>
          <c:order val="1"/>
          <c:tx>
            <c:strRef>
              <c:f>Handling!$AG$2:$AG$4</c:f>
              <c:strCache>
                <c:ptCount val="3"/>
                <c:pt idx="0">
                  <c:v>Force on track</c:v>
                </c:pt>
                <c:pt idx="2">
                  <c:v>PR</c:v>
                </c:pt>
              </c:strCache>
            </c:strRef>
          </c:tx>
          <c:spPr>
            <a:ln w="19050" cap="rnd">
              <a:solidFill>
                <a:schemeClr val="accent2"/>
              </a:solidFill>
              <a:round/>
            </a:ln>
            <a:effectLst/>
          </c:spPr>
          <c:marker>
            <c:symbol val="none"/>
          </c:marker>
          <c:xVal>
            <c:numRef>
              <c:f>Handling!$AM$6:$AM$30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Handling!$AG$6:$AG$30</c:f>
              <c:numCache>
                <c:formatCode>0</c:formatCode>
                <c:ptCount val="25"/>
                <c:pt idx="0">
                  <c:v>187.20588636363635</c:v>
                </c:pt>
                <c:pt idx="1">
                  <c:v>204.67523074945879</c:v>
                </c:pt>
                <c:pt idx="2">
                  <c:v>221.38962905443441</c:v>
                </c:pt>
                <c:pt idx="3">
                  <c:v>236.21002265592833</c:v>
                </c:pt>
                <c:pt idx="4">
                  <c:v>248.12642622185714</c:v>
                </c:pt>
                <c:pt idx="5">
                  <c:v>256.32675654199079</c:v>
                </c:pt>
                <c:pt idx="6">
                  <c:v>260.25217465669886</c:v>
                </c:pt>
                <c:pt idx="7">
                  <c:v>259.63516980852404</c:v>
                </c:pt>
                <c:pt idx="8">
                  <c:v>254.51778985822077</c:v>
                </c:pt>
                <c:pt idx="9">
                  <c:v>245.24877579253197</c:v>
                </c:pt>
                <c:pt idx="10">
                  <c:v>232.45979560226439</c:v>
                </c:pt>
                <c:pt idx="11">
                  <c:v>217.02239715259569</c:v>
                </c:pt>
                <c:pt idx="12">
                  <c:v>199.9886136363636</c:v>
                </c:pt>
                <c:pt idx="13">
                  <c:v>182.51926925054116</c:v>
                </c:pt>
                <c:pt idx="14">
                  <c:v>165.80487094556551</c:v>
                </c:pt>
                <c:pt idx="15">
                  <c:v>150.98447734407159</c:v>
                </c:pt>
                <c:pt idx="16">
                  <c:v>139.06807377814283</c:v>
                </c:pt>
                <c:pt idx="17">
                  <c:v>130.8677434580091</c:v>
                </c:pt>
                <c:pt idx="18">
                  <c:v>126.94232534330109</c:v>
                </c:pt>
                <c:pt idx="19">
                  <c:v>127.55933019147591</c:v>
                </c:pt>
                <c:pt idx="20">
                  <c:v>132.67671014177915</c:v>
                </c:pt>
                <c:pt idx="21">
                  <c:v>141.94572420746792</c:v>
                </c:pt>
                <c:pt idx="22">
                  <c:v>154.73470439773556</c:v>
                </c:pt>
                <c:pt idx="23">
                  <c:v>170.17210284740423</c:v>
                </c:pt>
                <c:pt idx="24">
                  <c:v>187.2058863636363</c:v>
                </c:pt>
              </c:numCache>
            </c:numRef>
          </c:yVal>
          <c:smooth val="0"/>
        </c:ser>
        <c:dLbls>
          <c:showLegendKey val="0"/>
          <c:showVal val="0"/>
          <c:showCatName val="0"/>
          <c:showSerName val="0"/>
          <c:showPercent val="0"/>
          <c:showBubbleSize val="0"/>
        </c:dLbls>
        <c:axId val="540977576"/>
        <c:axId val="540976792"/>
      </c:scatterChart>
      <c:valAx>
        <c:axId val="540977576"/>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976792"/>
        <c:crosses val="autoZero"/>
        <c:crossBetween val="midCat"/>
        <c:majorUnit val="45"/>
        <c:minorUnit val="15"/>
      </c:valAx>
      <c:valAx>
        <c:axId val="540976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Force on TRack (kN)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9775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Handling!$P$2:$P$5</c:f>
              <c:strCache>
                <c:ptCount val="4"/>
                <c:pt idx="0">
                  <c:v>Max bearing pressure R.H. track (kN/m^2)</c:v>
                </c:pt>
              </c:strCache>
            </c:strRef>
          </c:tx>
          <c:spPr>
            <a:ln w="19050" cap="rnd">
              <a:solidFill>
                <a:schemeClr val="accent1"/>
              </a:solidFill>
              <a:round/>
            </a:ln>
            <a:effectLst/>
          </c:spPr>
          <c:marker>
            <c:symbol val="none"/>
          </c:marker>
          <c:xVal>
            <c:numRef>
              <c:f>Handling!$L$6:$L$29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Handling!$P$6:$P$29</c:f>
              <c:numCache>
                <c:formatCode>0</c:formatCode>
                <c:ptCount val="24"/>
                <c:pt idx="0">
                  <c:v>132.78529150911768</c:v>
                </c:pt>
                <c:pt idx="1">
                  <c:v>144.54210590479551</c:v>
                </c:pt>
                <c:pt idx="2">
                  <c:v>150.65625408302759</c:v>
                </c:pt>
                <c:pt idx="3">
                  <c:v>149.74623812049151</c:v>
                </c:pt>
                <c:pt idx="4">
                  <c:v>141.36445950658552</c:v>
                </c:pt>
                <c:pt idx="5">
                  <c:v>126.16427306130264</c:v>
                </c:pt>
                <c:pt idx="6">
                  <c:v>105.8334497348208</c:v>
                </c:pt>
                <c:pt idx="7">
                  <c:v>111.69336156493455</c:v>
                </c:pt>
                <c:pt idx="8">
                  <c:v>130.85604135855792</c:v>
                </c:pt>
                <c:pt idx="9">
                  <c:v>144.3439087871871</c:v>
                </c:pt>
                <c:pt idx="10">
                  <c:v>150.72817338073978</c:v>
                </c:pt>
                <c:pt idx="11">
                  <c:v>149.6559085166607</c:v>
                </c:pt>
                <c:pt idx="12">
                  <c:v>141.85209063686318</c:v>
                </c:pt>
                <c:pt idx="13">
                  <c:v>128.89551632151935</c:v>
                </c:pt>
                <c:pt idx="14">
                  <c:v>112.8306726564723</c:v>
                </c:pt>
                <c:pt idx="15">
                  <c:v>95.717181018169015</c:v>
                </c:pt>
                <c:pt idx="16">
                  <c:v>79.230912174953829</c:v>
                </c:pt>
                <c:pt idx="17">
                  <c:v>64.413227644645033</c:v>
                </c:pt>
                <c:pt idx="18">
                  <c:v>51.62202477717404</c:v>
                </c:pt>
                <c:pt idx="19">
                  <c:v>54.875194291145817</c:v>
                </c:pt>
                <c:pt idx="20">
                  <c:v>68.213499257954851</c:v>
                </c:pt>
                <c:pt idx="21">
                  <c:v>83.543742885251376</c:v>
                </c:pt>
                <c:pt idx="22">
                  <c:v>100.33080899883666</c:v>
                </c:pt>
                <c:pt idx="23">
                  <c:v>117.34853632600885</c:v>
                </c:pt>
              </c:numCache>
            </c:numRef>
          </c:yVal>
          <c:smooth val="0"/>
        </c:ser>
        <c:ser>
          <c:idx val="1"/>
          <c:order val="1"/>
          <c:tx>
            <c:strRef>
              <c:f>Handling!$N$2:$N$5</c:f>
              <c:strCache>
                <c:ptCount val="4"/>
                <c:pt idx="0">
                  <c:v>Max bearing pressure L.H. track (kN/m^2)</c:v>
                </c:pt>
              </c:strCache>
            </c:strRef>
          </c:tx>
          <c:spPr>
            <a:ln w="19050" cap="rnd">
              <a:solidFill>
                <a:schemeClr val="accent2"/>
              </a:solidFill>
              <a:round/>
            </a:ln>
            <a:effectLst/>
          </c:spPr>
          <c:marker>
            <c:symbol val="none"/>
          </c:marker>
          <c:xVal>
            <c:numRef>
              <c:f>Handling!$L$6:$L$29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Handling!$N$6:$N$29</c:f>
              <c:numCache>
                <c:formatCode>0</c:formatCode>
                <c:ptCount val="24"/>
                <c:pt idx="0">
                  <c:v>141.85209063686321</c:v>
                </c:pt>
                <c:pt idx="1">
                  <c:v>128.89551632151938</c:v>
                </c:pt>
                <c:pt idx="2">
                  <c:v>112.83067265647232</c:v>
                </c:pt>
                <c:pt idx="3">
                  <c:v>95.717181018169057</c:v>
                </c:pt>
                <c:pt idx="4">
                  <c:v>79.230912174953801</c:v>
                </c:pt>
                <c:pt idx="5">
                  <c:v>64.413227644645062</c:v>
                </c:pt>
                <c:pt idx="6">
                  <c:v>51.622024777174012</c:v>
                </c:pt>
                <c:pt idx="7">
                  <c:v>54.875194291145817</c:v>
                </c:pt>
                <c:pt idx="8">
                  <c:v>68.213499257954879</c:v>
                </c:pt>
                <c:pt idx="9">
                  <c:v>83.543742885251461</c:v>
                </c:pt>
                <c:pt idx="10">
                  <c:v>100.33080899883666</c:v>
                </c:pt>
                <c:pt idx="11">
                  <c:v>117.34853632600891</c:v>
                </c:pt>
                <c:pt idx="12">
                  <c:v>132.78529150911771</c:v>
                </c:pt>
                <c:pt idx="13">
                  <c:v>144.54210590479553</c:v>
                </c:pt>
                <c:pt idx="14">
                  <c:v>150.65625408302759</c:v>
                </c:pt>
                <c:pt idx="15">
                  <c:v>149.74623812049151</c:v>
                </c:pt>
                <c:pt idx="16">
                  <c:v>141.36445950658558</c:v>
                </c:pt>
                <c:pt idx="17">
                  <c:v>126.16427306130262</c:v>
                </c:pt>
                <c:pt idx="18">
                  <c:v>105.83344973482087</c:v>
                </c:pt>
                <c:pt idx="19">
                  <c:v>111.69336156493455</c:v>
                </c:pt>
                <c:pt idx="20">
                  <c:v>130.85604135855792</c:v>
                </c:pt>
                <c:pt idx="21">
                  <c:v>144.34390878718702</c:v>
                </c:pt>
                <c:pt idx="22">
                  <c:v>150.72817338073978</c:v>
                </c:pt>
                <c:pt idx="23">
                  <c:v>149.6559085166607</c:v>
                </c:pt>
              </c:numCache>
            </c:numRef>
          </c:yVal>
          <c:smooth val="0"/>
        </c:ser>
        <c:dLbls>
          <c:showLegendKey val="0"/>
          <c:showVal val="0"/>
          <c:showCatName val="0"/>
          <c:showSerName val="0"/>
          <c:showPercent val="0"/>
          <c:showBubbleSize val="0"/>
        </c:dLbls>
        <c:axId val="360897080"/>
        <c:axId val="360895120"/>
      </c:scatterChart>
      <c:valAx>
        <c:axId val="360897080"/>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895120"/>
        <c:crosses val="autoZero"/>
        <c:crossBetween val="midCat"/>
        <c:majorUnit val="45"/>
        <c:minorUnit val="15"/>
      </c:valAx>
      <c:valAx>
        <c:axId val="360895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Max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8970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Handling!$Q$2:$Q$5</c:f>
              <c:strCache>
                <c:ptCount val="4"/>
                <c:pt idx="0">
                  <c:v>Min bearing pressure R.H. track (kN/m^2)</c:v>
                </c:pt>
              </c:strCache>
            </c:strRef>
          </c:tx>
          <c:spPr>
            <a:ln w="19050" cap="rnd">
              <a:solidFill>
                <a:schemeClr val="accent1"/>
              </a:solidFill>
              <a:round/>
            </a:ln>
            <a:effectLst/>
          </c:spPr>
          <c:marker>
            <c:symbol val="none"/>
          </c:marker>
          <c:xVal>
            <c:numRef>
              <c:f>Handling!$L$6:$L$29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Handling!$Q$6:$Q$29</c:f>
              <c:numCache>
                <c:formatCode>0</c:formatCode>
                <c:ptCount val="24"/>
                <c:pt idx="0">
                  <c:v>7.4543416945952172</c:v>
                </c:pt>
                <c:pt idx="1">
                  <c:v>8.7841587962748235</c:v>
                </c:pt>
                <c:pt idx="2">
                  <c:v>15.191097070193196</c:v>
                </c:pt>
                <c:pt idx="3">
                  <c:v>27.203363090032394</c:v>
                </c:pt>
                <c:pt idx="4">
                  <c:v>44.511955372324607</c:v>
                </c:pt>
                <c:pt idx="5">
                  <c:v>65.855171497833496</c:v>
                </c:pt>
                <c:pt idx="6">
                  <c:v>89.126603195510199</c:v>
                </c:pt>
                <c:pt idx="7">
                  <c:v>82.804480826648373</c:v>
                </c:pt>
                <c:pt idx="8">
                  <c:v>59.808270468710631</c:v>
                </c:pt>
                <c:pt idx="9">
                  <c:v>39.376801222949986</c:v>
                </c:pt>
                <c:pt idx="10">
                  <c:v>23.412058548441774</c:v>
                </c:pt>
                <c:pt idx="11">
                  <c:v>12.919862816469649</c:v>
                </c:pt>
                <c:pt idx="12">
                  <c:v>7.9633364635665362</c:v>
                </c:pt>
                <c:pt idx="13">
                  <c:v>7.8332792815528975</c:v>
                </c:pt>
                <c:pt idx="14">
                  <c:v>11.377036494449516</c:v>
                </c:pt>
                <c:pt idx="15">
                  <c:v>17.38827807544968</c:v>
                </c:pt>
                <c:pt idx="16">
                  <c:v>24.947733250278645</c:v>
                </c:pt>
                <c:pt idx="17">
                  <c:v>33.622388100361434</c:v>
                </c:pt>
                <c:pt idx="18">
                  <c:v>43.472982596637571</c:v>
                </c:pt>
                <c:pt idx="19">
                  <c:v>40.682023621413883</c:v>
                </c:pt>
                <c:pt idx="20">
                  <c:v>31.177249218919194</c:v>
                </c:pt>
                <c:pt idx="21">
                  <c:v>22.790607408754106</c:v>
                </c:pt>
                <c:pt idx="22">
                  <c:v>15.584019376124438</c:v>
                </c:pt>
                <c:pt idx="23">
                  <c:v>10.130752645003367</c:v>
                </c:pt>
              </c:numCache>
            </c:numRef>
          </c:yVal>
          <c:smooth val="0"/>
        </c:ser>
        <c:ser>
          <c:idx val="1"/>
          <c:order val="1"/>
          <c:tx>
            <c:strRef>
              <c:f>Handling!$O$2:$O$5</c:f>
              <c:strCache>
                <c:ptCount val="4"/>
                <c:pt idx="0">
                  <c:v>Min pressure L.H. track (kN/m^2)</c:v>
                </c:pt>
              </c:strCache>
            </c:strRef>
          </c:tx>
          <c:spPr>
            <a:ln w="19050" cap="rnd">
              <a:solidFill>
                <a:schemeClr val="accent2"/>
              </a:solidFill>
              <a:round/>
            </a:ln>
            <a:effectLst/>
          </c:spPr>
          <c:marker>
            <c:symbol val="none"/>
          </c:marker>
          <c:xVal>
            <c:numRef>
              <c:f>Handling!$L$6:$L$29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Handling!$O$6:$O$29</c:f>
              <c:numCache>
                <c:formatCode>0</c:formatCode>
                <c:ptCount val="24"/>
                <c:pt idx="0">
                  <c:v>7.963336463566538</c:v>
                </c:pt>
                <c:pt idx="1">
                  <c:v>7.8332792815528984</c:v>
                </c:pt>
                <c:pt idx="2">
                  <c:v>11.377036494449518</c:v>
                </c:pt>
                <c:pt idx="3">
                  <c:v>17.388278075449676</c:v>
                </c:pt>
                <c:pt idx="4">
                  <c:v>24.947733250278656</c:v>
                </c:pt>
                <c:pt idx="5">
                  <c:v>33.62238810036142</c:v>
                </c:pt>
                <c:pt idx="6">
                  <c:v>43.472982596637593</c:v>
                </c:pt>
                <c:pt idx="7">
                  <c:v>40.682023621413876</c:v>
                </c:pt>
                <c:pt idx="8">
                  <c:v>31.177249218919194</c:v>
                </c:pt>
                <c:pt idx="9">
                  <c:v>22.790607408754077</c:v>
                </c:pt>
                <c:pt idx="10">
                  <c:v>15.584019376124438</c:v>
                </c:pt>
                <c:pt idx="11">
                  <c:v>10.130752645003355</c:v>
                </c:pt>
                <c:pt idx="12">
                  <c:v>7.4543416945952181</c:v>
                </c:pt>
                <c:pt idx="13">
                  <c:v>8.7841587962748235</c:v>
                </c:pt>
                <c:pt idx="14">
                  <c:v>15.191097070193198</c:v>
                </c:pt>
                <c:pt idx="15">
                  <c:v>27.203363090032404</c:v>
                </c:pt>
                <c:pt idx="16">
                  <c:v>44.511955372324586</c:v>
                </c:pt>
                <c:pt idx="17">
                  <c:v>65.855171497833567</c:v>
                </c:pt>
                <c:pt idx="18">
                  <c:v>89.126603195510171</c:v>
                </c:pt>
                <c:pt idx="19">
                  <c:v>82.804480826648373</c:v>
                </c:pt>
                <c:pt idx="20">
                  <c:v>59.80827046871066</c:v>
                </c:pt>
                <c:pt idx="21">
                  <c:v>39.376801222950064</c:v>
                </c:pt>
                <c:pt idx="22">
                  <c:v>23.412058548441774</c:v>
                </c:pt>
                <c:pt idx="23">
                  <c:v>12.919862816469671</c:v>
                </c:pt>
              </c:numCache>
            </c:numRef>
          </c:yVal>
          <c:smooth val="0"/>
        </c:ser>
        <c:dLbls>
          <c:showLegendKey val="0"/>
          <c:showVal val="0"/>
          <c:showCatName val="0"/>
          <c:showSerName val="0"/>
          <c:showPercent val="0"/>
          <c:showBubbleSize val="0"/>
        </c:dLbls>
        <c:axId val="360896688"/>
        <c:axId val="360893552"/>
      </c:scatterChart>
      <c:valAx>
        <c:axId val="360896688"/>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893552"/>
        <c:crosses val="autoZero"/>
        <c:crossBetween val="midCat"/>
        <c:majorUnit val="45"/>
        <c:minorUnit val="15"/>
      </c:valAx>
      <c:valAx>
        <c:axId val="36089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896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Position of Non-Slewing Actions</c:v>
          </c:tx>
          <c:spPr>
            <a:ln w="25400" cap="rnd">
              <a:noFill/>
              <a:round/>
            </a:ln>
            <a:effectLst/>
          </c:spPr>
          <c:marker>
            <c:symbol val="square"/>
            <c:size val="8"/>
            <c:spPr>
              <a:solidFill>
                <a:srgbClr val="FF0000"/>
              </a:solidFill>
              <a:ln w="9525">
                <a:solidFill>
                  <a:srgbClr val="FF0000"/>
                </a:solidFill>
              </a:ln>
              <a:effectLst/>
            </c:spPr>
          </c:marker>
          <c:xVal>
            <c:numRef>
              <c:f>Penetrating!$AP$6:$AP$30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xVal>
          <c:yVal>
            <c:numRef>
              <c:f>Penetrating!$AQ$6:$AQ$30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0"/>
        </c:ser>
        <c:ser>
          <c:idx val="1"/>
          <c:order val="1"/>
          <c:tx>
            <c:v>Resultant of Slewing Actions</c:v>
          </c:tx>
          <c:spPr>
            <a:ln w="25400" cap="rnd">
              <a:noFill/>
              <a:round/>
            </a:ln>
            <a:effectLst/>
          </c:spPr>
          <c:marker>
            <c:symbol val="circle"/>
            <c:size val="5"/>
            <c:spPr>
              <a:noFill/>
              <a:ln w="9525">
                <a:solidFill>
                  <a:schemeClr val="accent2"/>
                </a:solidFill>
              </a:ln>
              <a:effectLst/>
            </c:spPr>
          </c:marker>
          <c:xVal>
            <c:numRef>
              <c:f>Penetrating!$BA$6:$BA$30</c:f>
              <c:numCache>
                <c:formatCode>0.00</c:formatCode>
                <c:ptCount val="25"/>
                <c:pt idx="0">
                  <c:v>-4.9236489730382887E-2</c:v>
                </c:pt>
                <c:pt idx="1">
                  <c:v>0.19051666252586275</c:v>
                </c:pt>
                <c:pt idx="2">
                  <c:v>0.41728641907464198</c:v>
                </c:pt>
                <c:pt idx="3">
                  <c:v>0.61561879576189715</c:v>
                </c:pt>
                <c:pt idx="4">
                  <c:v>0.77199776887614147</c:v>
                </c:pt>
                <c:pt idx="5">
                  <c:v>0.87576636982811096</c:v>
                </c:pt>
                <c:pt idx="6">
                  <c:v>0.91985293994865036</c:v>
                </c:pt>
                <c:pt idx="7">
                  <c:v>0.90125305234054653</c:v>
                </c:pt>
                <c:pt idx="8">
                  <c:v>0.82123425860652444</c:v>
                </c:pt>
                <c:pt idx="9">
                  <c:v>0.68524970730224832</c:v>
                </c:pt>
                <c:pt idx="10">
                  <c:v>0.50256652087400866</c:v>
                </c:pt>
                <c:pt idx="11">
                  <c:v>0.28563425657864955</c:v>
                </c:pt>
                <c:pt idx="12">
                  <c:v>4.9236489730382957E-2</c:v>
                </c:pt>
                <c:pt idx="13">
                  <c:v>-0.19051666252586238</c:v>
                </c:pt>
                <c:pt idx="14">
                  <c:v>-0.41728641907464176</c:v>
                </c:pt>
                <c:pt idx="15">
                  <c:v>-0.61561879576189704</c:v>
                </c:pt>
                <c:pt idx="16">
                  <c:v>-0.77199776887614147</c:v>
                </c:pt>
                <c:pt idx="17">
                  <c:v>-0.87576636982811085</c:v>
                </c:pt>
                <c:pt idx="18">
                  <c:v>-0.91985293994865036</c:v>
                </c:pt>
                <c:pt idx="19">
                  <c:v>-0.90125305234054653</c:v>
                </c:pt>
                <c:pt idx="20">
                  <c:v>-0.8212342586065241</c:v>
                </c:pt>
                <c:pt idx="21">
                  <c:v>-0.6852497073022481</c:v>
                </c:pt>
                <c:pt idx="22">
                  <c:v>-0.50256652087400844</c:v>
                </c:pt>
                <c:pt idx="23">
                  <c:v>-0.28563425657864894</c:v>
                </c:pt>
                <c:pt idx="24">
                  <c:v>-4.9236489730382665E-2</c:v>
                </c:pt>
              </c:numCache>
            </c:numRef>
          </c:xVal>
          <c:yVal>
            <c:numRef>
              <c:f>Penetrating!$BB$6:$BB$30</c:f>
              <c:numCache>
                <c:formatCode>0.00</c:formatCode>
                <c:ptCount val="25"/>
                <c:pt idx="0">
                  <c:v>0.91985293994865036</c:v>
                </c:pt>
                <c:pt idx="1">
                  <c:v>0.90125305234054653</c:v>
                </c:pt>
                <c:pt idx="2">
                  <c:v>0.82123425860652433</c:v>
                </c:pt>
                <c:pt idx="3">
                  <c:v>0.68524970730224832</c:v>
                </c:pt>
                <c:pt idx="4">
                  <c:v>0.50256652087400833</c:v>
                </c:pt>
                <c:pt idx="5">
                  <c:v>0.28563425657864933</c:v>
                </c:pt>
                <c:pt idx="6">
                  <c:v>4.9236489730382901E-2</c:v>
                </c:pt>
                <c:pt idx="7">
                  <c:v>-0.19051666252586263</c:v>
                </c:pt>
                <c:pt idx="8">
                  <c:v>-0.41728641907464181</c:v>
                </c:pt>
                <c:pt idx="9">
                  <c:v>-0.61561879576189715</c:v>
                </c:pt>
                <c:pt idx="10">
                  <c:v>-0.77199776887614124</c:v>
                </c:pt>
                <c:pt idx="11">
                  <c:v>-0.87576636982811096</c:v>
                </c:pt>
                <c:pt idx="12">
                  <c:v>-0.91985293994865036</c:v>
                </c:pt>
                <c:pt idx="13">
                  <c:v>-0.90125305234054665</c:v>
                </c:pt>
                <c:pt idx="14">
                  <c:v>-0.82123425860652444</c:v>
                </c:pt>
                <c:pt idx="15">
                  <c:v>-0.68524970730224832</c:v>
                </c:pt>
                <c:pt idx="16">
                  <c:v>-0.50256652087400833</c:v>
                </c:pt>
                <c:pt idx="17">
                  <c:v>-0.2856342565786496</c:v>
                </c:pt>
                <c:pt idx="18">
                  <c:v>-4.923648973038261E-2</c:v>
                </c:pt>
                <c:pt idx="19">
                  <c:v>0.19051666252586275</c:v>
                </c:pt>
                <c:pt idx="20">
                  <c:v>0.41728641907464242</c:v>
                </c:pt>
                <c:pt idx="21">
                  <c:v>0.61561879576189737</c:v>
                </c:pt>
                <c:pt idx="22">
                  <c:v>0.77199776887614135</c:v>
                </c:pt>
                <c:pt idx="23">
                  <c:v>0.87576636982811118</c:v>
                </c:pt>
                <c:pt idx="24">
                  <c:v>0.91985293994865036</c:v>
                </c:pt>
              </c:numCache>
            </c:numRef>
          </c:yVal>
          <c:smooth val="0"/>
        </c:ser>
        <c:ser>
          <c:idx val="2"/>
          <c:order val="2"/>
          <c:tx>
            <c:strRef>
              <c:f>Penetrating!$AO$34</c:f>
              <c:strCache>
                <c:ptCount val="1"/>
                <c:pt idx="0">
                  <c:v>LHS</c:v>
                </c:pt>
              </c:strCache>
            </c:strRef>
          </c:tx>
          <c:spPr>
            <a:ln w="25400" cap="rnd">
              <a:solidFill>
                <a:schemeClr val="accent1"/>
              </a:solidFill>
              <a:round/>
            </a:ln>
            <a:effectLst/>
          </c:spPr>
          <c:marker>
            <c:symbol val="none"/>
          </c:marker>
          <c:xVal>
            <c:numRef>
              <c:f>Penetrating!$AO$36:$AO$40</c:f>
              <c:numCache>
                <c:formatCode>0.000</c:formatCode>
                <c:ptCount val="5"/>
                <c:pt idx="0">
                  <c:v>-2</c:v>
                </c:pt>
                <c:pt idx="1">
                  <c:v>-1.2999999999999998</c:v>
                </c:pt>
                <c:pt idx="2">
                  <c:v>-1.2999999999999998</c:v>
                </c:pt>
                <c:pt idx="3">
                  <c:v>-2</c:v>
                </c:pt>
                <c:pt idx="4">
                  <c:v>-2</c:v>
                </c:pt>
              </c:numCache>
            </c:numRef>
          </c:xVal>
          <c:yVal>
            <c:numRef>
              <c:f>Penetrating!$AP$36:$AP$40</c:f>
              <c:numCache>
                <c:formatCode>0.000</c:formatCode>
                <c:ptCount val="5"/>
                <c:pt idx="0">
                  <c:v>1.907</c:v>
                </c:pt>
                <c:pt idx="1">
                  <c:v>1.907</c:v>
                </c:pt>
                <c:pt idx="2">
                  <c:v>-1.907</c:v>
                </c:pt>
                <c:pt idx="3">
                  <c:v>-1.907</c:v>
                </c:pt>
                <c:pt idx="4">
                  <c:v>1.907</c:v>
                </c:pt>
              </c:numCache>
            </c:numRef>
          </c:yVal>
          <c:smooth val="0"/>
        </c:ser>
        <c:ser>
          <c:idx val="3"/>
          <c:order val="3"/>
          <c:tx>
            <c:strRef>
              <c:f>Penetrating!$AR$34</c:f>
              <c:strCache>
                <c:ptCount val="1"/>
                <c:pt idx="0">
                  <c:v>RHS</c:v>
                </c:pt>
              </c:strCache>
            </c:strRef>
          </c:tx>
          <c:spPr>
            <a:ln w="25400" cap="rnd">
              <a:solidFill>
                <a:schemeClr val="accent1"/>
              </a:solidFill>
              <a:round/>
            </a:ln>
            <a:effectLst/>
          </c:spPr>
          <c:marker>
            <c:symbol val="none"/>
          </c:marker>
          <c:xVal>
            <c:numRef>
              <c:f>Penetrating!$AR$36:$AR$40</c:f>
              <c:numCache>
                <c:formatCode>0.000</c:formatCode>
                <c:ptCount val="5"/>
                <c:pt idx="0">
                  <c:v>2</c:v>
                </c:pt>
                <c:pt idx="1">
                  <c:v>1.2999999999999998</c:v>
                </c:pt>
                <c:pt idx="2">
                  <c:v>1.2999999999999998</c:v>
                </c:pt>
                <c:pt idx="3">
                  <c:v>2</c:v>
                </c:pt>
                <c:pt idx="4">
                  <c:v>2</c:v>
                </c:pt>
              </c:numCache>
            </c:numRef>
          </c:xVal>
          <c:yVal>
            <c:numRef>
              <c:f>Penetrating!$AS$36:$AS$40</c:f>
              <c:numCache>
                <c:formatCode>0.000</c:formatCode>
                <c:ptCount val="5"/>
                <c:pt idx="0">
                  <c:v>1.907</c:v>
                </c:pt>
                <c:pt idx="1">
                  <c:v>1.907</c:v>
                </c:pt>
                <c:pt idx="2">
                  <c:v>-1.907</c:v>
                </c:pt>
                <c:pt idx="3">
                  <c:v>-1.907</c:v>
                </c:pt>
                <c:pt idx="4">
                  <c:v>1.907</c:v>
                </c:pt>
              </c:numCache>
            </c:numRef>
          </c:yVal>
          <c:smooth val="0"/>
        </c:ser>
        <c:ser>
          <c:idx val="4"/>
          <c:order val="4"/>
          <c:tx>
            <c:v>Net Resultant of All Actions</c:v>
          </c:tx>
          <c:spPr>
            <a:ln w="25400" cap="rnd">
              <a:noFill/>
              <a:round/>
            </a:ln>
            <a:effectLst/>
          </c:spPr>
          <c:marker>
            <c:symbol val="circle"/>
            <c:size val="5"/>
            <c:spPr>
              <a:solidFill>
                <a:schemeClr val="accent5"/>
              </a:solidFill>
              <a:ln w="9525">
                <a:solidFill>
                  <a:schemeClr val="accent5"/>
                </a:solidFill>
              </a:ln>
              <a:effectLst/>
            </c:spPr>
          </c:marker>
          <c:xVal>
            <c:numRef>
              <c:f>Penetrating!$BH$6:$BH$30</c:f>
              <c:numCache>
                <c:formatCode>0.00</c:formatCode>
                <c:ptCount val="25"/>
                <c:pt idx="0">
                  <c:v>-3.1840316656255967E-2</c:v>
                </c:pt>
                <c:pt idx="1">
                  <c:v>0.12320356094299802</c:v>
                </c:pt>
                <c:pt idx="2">
                  <c:v>0.26985131946749785</c:v>
                </c:pt>
                <c:pt idx="3">
                  <c:v>0.39810915652067835</c:v>
                </c:pt>
                <c:pt idx="4">
                  <c:v>0.49923651246346273</c:v>
                </c:pt>
                <c:pt idx="5">
                  <c:v>0.56634172510920744</c:v>
                </c:pt>
                <c:pt idx="6">
                  <c:v>0.59485168511271269</c:v>
                </c:pt>
                <c:pt idx="7">
                  <c:v>0.58282348581467569</c:v>
                </c:pt>
                <c:pt idx="8">
                  <c:v>0.53107682911971876</c:v>
                </c:pt>
                <c:pt idx="9">
                  <c:v>0.44313816416620955</c:v>
                </c:pt>
                <c:pt idx="10">
                  <c:v>0.32500036564521495</c:v>
                </c:pt>
                <c:pt idx="11">
                  <c:v>0.18471432929399739</c:v>
                </c:pt>
                <c:pt idx="12">
                  <c:v>3.1840316656256008E-2</c:v>
                </c:pt>
                <c:pt idx="13">
                  <c:v>-0.12320356094299779</c:v>
                </c:pt>
                <c:pt idx="14">
                  <c:v>-0.26985131946749774</c:v>
                </c:pt>
                <c:pt idx="15">
                  <c:v>-0.3981091565206783</c:v>
                </c:pt>
                <c:pt idx="16">
                  <c:v>-0.49923651246346273</c:v>
                </c:pt>
                <c:pt idx="17">
                  <c:v>-0.56634172510920744</c:v>
                </c:pt>
                <c:pt idx="18">
                  <c:v>-0.59485168511271269</c:v>
                </c:pt>
                <c:pt idx="19">
                  <c:v>-0.58282348581467569</c:v>
                </c:pt>
                <c:pt idx="20">
                  <c:v>-0.53107682911971854</c:v>
                </c:pt>
                <c:pt idx="21">
                  <c:v>-0.44313816416620938</c:v>
                </c:pt>
                <c:pt idx="22">
                  <c:v>-0.32500036564521478</c:v>
                </c:pt>
                <c:pt idx="23">
                  <c:v>-0.184714329293997</c:v>
                </c:pt>
                <c:pt idx="24">
                  <c:v>-3.1840316656255828E-2</c:v>
                </c:pt>
              </c:numCache>
            </c:numRef>
          </c:xVal>
          <c:yVal>
            <c:numRef>
              <c:f>Penetrating!$BI$6:$BI$30</c:f>
              <c:numCache>
                <c:formatCode>0.00</c:formatCode>
                <c:ptCount val="25"/>
                <c:pt idx="0">
                  <c:v>0.59485168511271269</c:v>
                </c:pt>
                <c:pt idx="1">
                  <c:v>0.58282348581467569</c:v>
                </c:pt>
                <c:pt idx="2">
                  <c:v>0.53107682911971865</c:v>
                </c:pt>
                <c:pt idx="3">
                  <c:v>0.44313816416620955</c:v>
                </c:pt>
                <c:pt idx="4">
                  <c:v>0.32500036564521473</c:v>
                </c:pt>
                <c:pt idx="5">
                  <c:v>0.18471432929399723</c:v>
                </c:pt>
                <c:pt idx="6">
                  <c:v>3.1840316656255974E-2</c:v>
                </c:pt>
                <c:pt idx="7">
                  <c:v>-0.12320356094299795</c:v>
                </c:pt>
                <c:pt idx="8">
                  <c:v>-0.26985131946749774</c:v>
                </c:pt>
                <c:pt idx="9">
                  <c:v>-0.39810915652067835</c:v>
                </c:pt>
                <c:pt idx="10">
                  <c:v>-0.49923651246346257</c:v>
                </c:pt>
                <c:pt idx="11">
                  <c:v>-0.56634172510920744</c:v>
                </c:pt>
                <c:pt idx="12">
                  <c:v>-0.59485168511271269</c:v>
                </c:pt>
                <c:pt idx="13">
                  <c:v>-0.58282348581467569</c:v>
                </c:pt>
                <c:pt idx="14">
                  <c:v>-0.53107682911971876</c:v>
                </c:pt>
                <c:pt idx="15">
                  <c:v>-0.44313816416620955</c:v>
                </c:pt>
                <c:pt idx="16">
                  <c:v>-0.32500036564521473</c:v>
                </c:pt>
                <c:pt idx="17">
                  <c:v>-0.18471432929399742</c:v>
                </c:pt>
                <c:pt idx="18">
                  <c:v>-3.1840316656255786E-2</c:v>
                </c:pt>
                <c:pt idx="19">
                  <c:v>0.12320356094299802</c:v>
                </c:pt>
                <c:pt idx="20">
                  <c:v>0.26985131946749813</c:v>
                </c:pt>
                <c:pt idx="21">
                  <c:v>0.39810915652067852</c:v>
                </c:pt>
                <c:pt idx="22">
                  <c:v>0.49923651246346262</c:v>
                </c:pt>
                <c:pt idx="23">
                  <c:v>0.56634172510920766</c:v>
                </c:pt>
                <c:pt idx="24">
                  <c:v>0.59485168511271269</c:v>
                </c:pt>
              </c:numCache>
            </c:numRef>
          </c:yVal>
          <c:smooth val="0"/>
        </c:ser>
        <c:dLbls>
          <c:showLegendKey val="0"/>
          <c:showVal val="0"/>
          <c:showCatName val="0"/>
          <c:showSerName val="0"/>
          <c:showPercent val="0"/>
          <c:showBubbleSize val="0"/>
        </c:dLbls>
        <c:axId val="360894336"/>
        <c:axId val="360894728"/>
      </c:scatterChart>
      <c:valAx>
        <c:axId val="360894336"/>
        <c:scaling>
          <c:orientation val="minMax"/>
          <c:max val="5"/>
          <c:min val="-5"/>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894728"/>
        <c:crosses val="autoZero"/>
        <c:crossBetween val="midCat"/>
        <c:minorUnit val="0.5"/>
      </c:valAx>
      <c:valAx>
        <c:axId val="360894728"/>
        <c:scaling>
          <c:orientation val="minMax"/>
          <c:max val="5"/>
          <c:min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894336"/>
        <c:crosses val="autoZero"/>
        <c:crossBetween val="midCat"/>
        <c:minorUnit val="0.5"/>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Penetrating!$BL$3</c:f>
              <c:strCache>
                <c:ptCount val="1"/>
                <c:pt idx="0">
                  <c:v>Vector Sum of Moments</c:v>
                </c:pt>
              </c:strCache>
            </c:strRef>
          </c:tx>
          <c:spPr>
            <a:ln w="19050" cap="rnd">
              <a:solidFill>
                <a:schemeClr val="accent1"/>
              </a:solidFill>
              <a:round/>
            </a:ln>
            <a:effectLst/>
          </c:spPr>
          <c:marker>
            <c:symbol val="none"/>
          </c:marker>
          <c:xVal>
            <c:numRef>
              <c:f>Penetrating!$AM$6:$AM$30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Penetrating!$BL$6:$BL$30</c:f>
              <c:numCache>
                <c:formatCode>#,##0</c:formatCode>
                <c:ptCount val="25"/>
                <c:pt idx="0">
                  <c:v>165.39878771055808</c:v>
                </c:pt>
                <c:pt idx="1">
                  <c:v>165.39878771055808</c:v>
                </c:pt>
                <c:pt idx="2">
                  <c:v>165.39878771055808</c:v>
                </c:pt>
                <c:pt idx="3">
                  <c:v>165.39878771055808</c:v>
                </c:pt>
                <c:pt idx="4">
                  <c:v>165.39878771055808</c:v>
                </c:pt>
                <c:pt idx="5">
                  <c:v>165.39878771055805</c:v>
                </c:pt>
                <c:pt idx="6">
                  <c:v>165.39878771055808</c:v>
                </c:pt>
                <c:pt idx="7">
                  <c:v>165.39878771055808</c:v>
                </c:pt>
                <c:pt idx="8">
                  <c:v>165.39878771055808</c:v>
                </c:pt>
                <c:pt idx="9">
                  <c:v>165.39878771055808</c:v>
                </c:pt>
                <c:pt idx="10">
                  <c:v>165.39878771055808</c:v>
                </c:pt>
                <c:pt idx="11">
                  <c:v>165.39878771055808</c:v>
                </c:pt>
                <c:pt idx="12">
                  <c:v>165.39878771055808</c:v>
                </c:pt>
                <c:pt idx="13">
                  <c:v>165.39878771055808</c:v>
                </c:pt>
                <c:pt idx="14">
                  <c:v>165.39878771055808</c:v>
                </c:pt>
                <c:pt idx="15">
                  <c:v>165.39878771055808</c:v>
                </c:pt>
                <c:pt idx="16">
                  <c:v>165.39878771055808</c:v>
                </c:pt>
                <c:pt idx="17">
                  <c:v>165.39878771055808</c:v>
                </c:pt>
                <c:pt idx="18">
                  <c:v>165.39878771055808</c:v>
                </c:pt>
                <c:pt idx="19">
                  <c:v>165.39878771055808</c:v>
                </c:pt>
                <c:pt idx="20">
                  <c:v>165.39878771055808</c:v>
                </c:pt>
                <c:pt idx="21">
                  <c:v>165.39878771055808</c:v>
                </c:pt>
                <c:pt idx="22">
                  <c:v>165.39878771055808</c:v>
                </c:pt>
                <c:pt idx="23">
                  <c:v>165.39878771055808</c:v>
                </c:pt>
                <c:pt idx="24">
                  <c:v>165.39878771055808</c:v>
                </c:pt>
              </c:numCache>
            </c:numRef>
          </c:yVal>
          <c:smooth val="0"/>
        </c:ser>
        <c:ser>
          <c:idx val="1"/>
          <c:order val="1"/>
          <c:tx>
            <c:v>Fore-aft avge track pressure</c:v>
          </c:tx>
          <c:spPr>
            <a:ln w="19050" cap="rnd">
              <a:solidFill>
                <a:schemeClr val="accent2"/>
              </a:solidFill>
              <a:round/>
            </a:ln>
            <a:effectLst/>
          </c:spPr>
          <c:marker>
            <c:symbol val="none"/>
          </c:marker>
          <c:xVal>
            <c:numRef>
              <c:f>Standing!$AM$6:$AM$29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Standing!$M$6:$M$29</c:f>
            </c:numRef>
          </c:yVal>
          <c:smooth val="0"/>
        </c:ser>
        <c:ser>
          <c:idx val="2"/>
          <c:order val="2"/>
          <c:tx>
            <c:v>Max Track Pressure</c:v>
          </c:tx>
          <c:spPr>
            <a:ln w="19050" cap="rnd">
              <a:solidFill>
                <a:schemeClr val="accent3"/>
              </a:solidFill>
              <a:round/>
            </a:ln>
            <a:effectLst/>
          </c:spPr>
          <c:marker>
            <c:symbol val="none"/>
          </c:marker>
          <c:yVal>
            <c:numLit>
              <c:formatCode>General</c:formatCode>
              <c:ptCount val="1"/>
              <c:pt idx="0">
                <c:v>1</c:v>
              </c:pt>
            </c:numLit>
          </c:yVal>
          <c:smooth val="0"/>
        </c:ser>
        <c:dLbls>
          <c:showLegendKey val="0"/>
          <c:showVal val="0"/>
          <c:showCatName val="0"/>
          <c:showSerName val="0"/>
          <c:showPercent val="0"/>
          <c:showBubbleSize val="0"/>
        </c:dLbls>
        <c:axId val="539679304"/>
        <c:axId val="539679696"/>
      </c:scatterChart>
      <c:valAx>
        <c:axId val="539679304"/>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79696"/>
        <c:crosses val="autoZero"/>
        <c:crossBetween val="midCat"/>
        <c:majorUnit val="45"/>
        <c:minorUnit val="15"/>
      </c:valAx>
      <c:valAx>
        <c:axId val="539679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Vector sum of moments (kNm)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793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Penetrating!$AA$2:$AA$4</c:f>
              <c:strCache>
                <c:ptCount val="3"/>
                <c:pt idx="0">
                  <c:v>Force on track</c:v>
                </c:pt>
                <c:pt idx="2">
                  <c:v>PL</c:v>
                </c:pt>
              </c:strCache>
            </c:strRef>
          </c:tx>
          <c:spPr>
            <a:ln w="19050" cap="rnd">
              <a:solidFill>
                <a:schemeClr val="accent1"/>
              </a:solidFill>
              <a:round/>
            </a:ln>
            <a:effectLst/>
          </c:spPr>
          <c:marker>
            <c:symbol val="none"/>
          </c:marker>
          <c:xVal>
            <c:numRef>
              <c:f>Penetrating!$AM$6:$AM$30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Penetrating!$AA$6:$AA$30</c:f>
              <c:numCache>
                <c:formatCode>0</c:formatCode>
                <c:ptCount val="25"/>
                <c:pt idx="0" formatCode="0.0">
                  <c:v>141.50545740623014</c:v>
                </c:pt>
                <c:pt idx="1">
                  <c:v>128.46048839196783</c:v>
                </c:pt>
                <c:pt idx="2">
                  <c:v>116.12194593814874</c:v>
                </c:pt>
                <c:pt idx="3">
                  <c:v>105.33068132259518</c:v>
                </c:pt>
                <c:pt idx="4">
                  <c:v>96.822101395449138</c:v>
                </c:pt>
                <c:pt idx="5">
                  <c:v>91.176051817652507</c:v>
                </c:pt>
                <c:pt idx="6">
                  <c:v>88.777301537393939</c:v>
                </c:pt>
                <c:pt idx="7">
                  <c:v>89.789321422150863</c:v>
                </c:pt>
                <c:pt idx="8">
                  <c:v>94.143143989219013</c:v>
                </c:pt>
                <c:pt idx="9">
                  <c:v>101.54206342568467</c:v>
                </c:pt>
                <c:pt idx="10">
                  <c:v>111.48185559924519</c:v>
                </c:pt>
                <c:pt idx="11">
                  <c:v>123.28514009955569</c:v>
                </c:pt>
                <c:pt idx="12">
                  <c:v>136.14754259376988</c:v>
                </c:pt>
                <c:pt idx="13">
                  <c:v>149.19251160803219</c:v>
                </c:pt>
                <c:pt idx="14">
                  <c:v>161.53105406185131</c:v>
                </c:pt>
                <c:pt idx="15">
                  <c:v>172.32231867740484</c:v>
                </c:pt>
                <c:pt idx="16">
                  <c:v>180.83089860455087</c:v>
                </c:pt>
                <c:pt idx="17">
                  <c:v>186.47694818234751</c:v>
                </c:pt>
                <c:pt idx="18">
                  <c:v>188.87569846260607</c:v>
                </c:pt>
                <c:pt idx="19">
                  <c:v>187.86367857784913</c:v>
                </c:pt>
                <c:pt idx="20">
                  <c:v>183.50985601078099</c:v>
                </c:pt>
                <c:pt idx="21">
                  <c:v>176.11093657431533</c:v>
                </c:pt>
                <c:pt idx="22">
                  <c:v>166.1711444007548</c:v>
                </c:pt>
                <c:pt idx="23">
                  <c:v>154.3678599004443</c:v>
                </c:pt>
                <c:pt idx="24">
                  <c:v>141.50545740623014</c:v>
                </c:pt>
              </c:numCache>
            </c:numRef>
          </c:yVal>
          <c:smooth val="0"/>
        </c:ser>
        <c:ser>
          <c:idx val="1"/>
          <c:order val="1"/>
          <c:tx>
            <c:strRef>
              <c:f>Penetrating!$AG$2:$AG$4</c:f>
              <c:strCache>
                <c:ptCount val="3"/>
                <c:pt idx="0">
                  <c:v>Force on track</c:v>
                </c:pt>
                <c:pt idx="2">
                  <c:v>PR</c:v>
                </c:pt>
              </c:strCache>
            </c:strRef>
          </c:tx>
          <c:spPr>
            <a:ln w="19050" cap="rnd">
              <a:solidFill>
                <a:schemeClr val="accent2"/>
              </a:solidFill>
              <a:round/>
            </a:ln>
            <a:effectLst/>
          </c:spPr>
          <c:marker>
            <c:symbol val="none"/>
          </c:marker>
          <c:xVal>
            <c:numRef>
              <c:f>Penetrating!$AM$6:$AM$30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Penetrating!$AG$6:$AG$30</c:f>
              <c:numCache>
                <c:formatCode>0</c:formatCode>
                <c:ptCount val="25"/>
                <c:pt idx="0">
                  <c:v>136.14754259376988</c:v>
                </c:pt>
                <c:pt idx="1">
                  <c:v>149.19251160803219</c:v>
                </c:pt>
                <c:pt idx="2">
                  <c:v>161.53105406185128</c:v>
                </c:pt>
                <c:pt idx="3">
                  <c:v>172.32231867740484</c:v>
                </c:pt>
                <c:pt idx="4">
                  <c:v>180.8308986045509</c:v>
                </c:pt>
                <c:pt idx="5">
                  <c:v>186.47694818234751</c:v>
                </c:pt>
                <c:pt idx="6">
                  <c:v>188.87569846260607</c:v>
                </c:pt>
                <c:pt idx="7">
                  <c:v>187.86367857784916</c:v>
                </c:pt>
                <c:pt idx="8">
                  <c:v>183.50985601078099</c:v>
                </c:pt>
                <c:pt idx="9">
                  <c:v>176.11093657431536</c:v>
                </c:pt>
                <c:pt idx="10">
                  <c:v>166.17114440075483</c:v>
                </c:pt>
                <c:pt idx="11">
                  <c:v>154.36785990044433</c:v>
                </c:pt>
                <c:pt idx="12">
                  <c:v>141.50545740623014</c:v>
                </c:pt>
                <c:pt idx="13">
                  <c:v>128.46048839196783</c:v>
                </c:pt>
                <c:pt idx="14">
                  <c:v>116.12194593814871</c:v>
                </c:pt>
                <c:pt idx="15">
                  <c:v>105.33068132259518</c:v>
                </c:pt>
                <c:pt idx="16">
                  <c:v>96.822101395449153</c:v>
                </c:pt>
                <c:pt idx="17">
                  <c:v>91.176051817652507</c:v>
                </c:pt>
                <c:pt idx="18">
                  <c:v>88.777301537393953</c:v>
                </c:pt>
                <c:pt idx="19">
                  <c:v>89.789321422150891</c:v>
                </c:pt>
                <c:pt idx="20">
                  <c:v>94.143143989219027</c:v>
                </c:pt>
                <c:pt idx="21">
                  <c:v>101.54206342568469</c:v>
                </c:pt>
                <c:pt idx="22">
                  <c:v>111.48185559924522</c:v>
                </c:pt>
                <c:pt idx="23">
                  <c:v>123.28514009955572</c:v>
                </c:pt>
                <c:pt idx="24">
                  <c:v>136.14754259376988</c:v>
                </c:pt>
              </c:numCache>
            </c:numRef>
          </c:yVal>
          <c:smooth val="0"/>
        </c:ser>
        <c:dLbls>
          <c:showLegendKey val="0"/>
          <c:showVal val="0"/>
          <c:showCatName val="0"/>
          <c:showSerName val="0"/>
          <c:showPercent val="0"/>
          <c:showBubbleSize val="0"/>
        </c:dLbls>
        <c:axId val="539680088"/>
        <c:axId val="539676952"/>
      </c:scatterChart>
      <c:valAx>
        <c:axId val="539680088"/>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76952"/>
        <c:crosses val="autoZero"/>
        <c:crossBetween val="midCat"/>
        <c:majorUnit val="45"/>
        <c:minorUnit val="15"/>
      </c:valAx>
      <c:valAx>
        <c:axId val="539676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Force on TRack (kN)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800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Penetrating!$P$2:$P$5</c:f>
              <c:strCache>
                <c:ptCount val="4"/>
                <c:pt idx="0">
                  <c:v>Max bearing pressure R.H. track (kN/m^2)</c:v>
                </c:pt>
              </c:strCache>
            </c:strRef>
          </c:tx>
          <c:spPr>
            <a:ln w="19050" cap="rnd">
              <a:solidFill>
                <a:schemeClr val="accent1"/>
              </a:solidFill>
              <a:round/>
            </a:ln>
            <a:effectLst/>
          </c:spPr>
          <c:marker>
            <c:symbol val="none"/>
          </c:marker>
          <c:xVal>
            <c:numRef>
              <c:f>Penetrating!$L$6:$L$29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Penetrating!$P$6:$P$29</c:f>
              <c:numCache>
                <c:formatCode>0</c:formatCode>
                <c:ptCount val="24"/>
                <c:pt idx="0">
                  <c:v>98.716496802785755</c:v>
                </c:pt>
                <c:pt idx="1">
                  <c:v>107.117611895503</c:v>
                </c:pt>
                <c:pt idx="2">
                  <c:v>111.05119813058511</c:v>
                </c:pt>
                <c:pt idx="3">
                  <c:v>109.54088494037077</c:v>
                </c:pt>
                <c:pt idx="4">
                  <c:v>102.36166948084306</c:v>
                </c:pt>
                <c:pt idx="5">
                  <c:v>90.143118297841539</c:v>
                </c:pt>
                <c:pt idx="6">
                  <c:v>74.288866149530293</c:v>
                </c:pt>
                <c:pt idx="7">
                  <c:v>84.004426203095178</c:v>
                </c:pt>
                <c:pt idx="8">
                  <c:v>97.914792623640736</c:v>
                </c:pt>
                <c:pt idx="9">
                  <c:v>107.2764839452516</c:v>
                </c:pt>
                <c:pt idx="10">
                  <c:v>111.12358818326693</c:v>
                </c:pt>
                <c:pt idx="11">
                  <c:v>109.33424641799353</c:v>
                </c:pt>
                <c:pt idx="12">
                  <c:v>102.60136002086074</c:v>
                </c:pt>
                <c:pt idx="13">
                  <c:v>92.23238211599859</c:v>
                </c:pt>
                <c:pt idx="14">
                  <c:v>79.832830291249678</c:v>
                </c:pt>
                <c:pt idx="15">
                  <c:v>66.956016678541502</c:v>
                </c:pt>
                <c:pt idx="16">
                  <c:v>54.807403037658837</c:v>
                </c:pt>
                <c:pt idx="17">
                  <c:v>44.074582435207446</c:v>
                </c:pt>
                <c:pt idx="18">
                  <c:v>34.918018171266588</c:v>
                </c:pt>
                <c:pt idx="19">
                  <c:v>40.149860166330306</c:v>
                </c:pt>
                <c:pt idx="20">
                  <c:v>50.231669410172657</c:v>
                </c:pt>
                <c:pt idx="21">
                  <c:v>61.853487061869792</c:v>
                </c:pt>
                <c:pt idx="22">
                  <c:v>74.551233646439783</c:v>
                </c:pt>
                <c:pt idx="23">
                  <c:v>87.319263841675394</c:v>
                </c:pt>
              </c:numCache>
            </c:numRef>
          </c:yVal>
          <c:smooth val="0"/>
        </c:ser>
        <c:ser>
          <c:idx val="1"/>
          <c:order val="1"/>
          <c:tx>
            <c:strRef>
              <c:f>Penetrating!$N$2:$N$5</c:f>
              <c:strCache>
                <c:ptCount val="4"/>
                <c:pt idx="0">
                  <c:v>Max bearing pressure L.H. track (kN/m^2)</c:v>
                </c:pt>
              </c:strCache>
            </c:strRef>
          </c:tx>
          <c:spPr>
            <a:ln w="19050" cap="rnd">
              <a:solidFill>
                <a:schemeClr val="accent2"/>
              </a:solidFill>
              <a:round/>
            </a:ln>
            <a:effectLst/>
          </c:spPr>
          <c:marker>
            <c:symbol val="none"/>
          </c:marker>
          <c:xVal>
            <c:numRef>
              <c:f>Penetrating!$L$6:$L$29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Penetrating!$N$6:$N$29</c:f>
              <c:numCache>
                <c:formatCode>0</c:formatCode>
                <c:ptCount val="24"/>
                <c:pt idx="0">
                  <c:v>102.60136002086074</c:v>
                </c:pt>
                <c:pt idx="1">
                  <c:v>92.232382115998576</c:v>
                </c:pt>
                <c:pt idx="2">
                  <c:v>79.832830291249678</c:v>
                </c:pt>
                <c:pt idx="3">
                  <c:v>66.956016678541488</c:v>
                </c:pt>
                <c:pt idx="4">
                  <c:v>54.807403037658837</c:v>
                </c:pt>
                <c:pt idx="5">
                  <c:v>44.074582435207439</c:v>
                </c:pt>
                <c:pt idx="6">
                  <c:v>34.918018171266588</c:v>
                </c:pt>
                <c:pt idx="7">
                  <c:v>40.149860166330306</c:v>
                </c:pt>
                <c:pt idx="8">
                  <c:v>50.231669410172614</c:v>
                </c:pt>
                <c:pt idx="9">
                  <c:v>61.853487061869778</c:v>
                </c:pt>
                <c:pt idx="10">
                  <c:v>74.551233646439769</c:v>
                </c:pt>
                <c:pt idx="11">
                  <c:v>87.319263841675351</c:v>
                </c:pt>
                <c:pt idx="12">
                  <c:v>98.716496802785755</c:v>
                </c:pt>
                <c:pt idx="13">
                  <c:v>107.117611895503</c:v>
                </c:pt>
                <c:pt idx="14">
                  <c:v>111.05119813058511</c:v>
                </c:pt>
                <c:pt idx="15">
                  <c:v>109.54088494037077</c:v>
                </c:pt>
                <c:pt idx="16">
                  <c:v>102.36166948084306</c:v>
                </c:pt>
                <c:pt idx="17">
                  <c:v>90.143118297841553</c:v>
                </c:pt>
                <c:pt idx="18">
                  <c:v>74.288866149530264</c:v>
                </c:pt>
                <c:pt idx="19">
                  <c:v>84.004426203095178</c:v>
                </c:pt>
                <c:pt idx="20">
                  <c:v>97.914792623640778</c:v>
                </c:pt>
                <c:pt idx="21">
                  <c:v>107.27648394525161</c:v>
                </c:pt>
                <c:pt idx="22">
                  <c:v>111.12358818326692</c:v>
                </c:pt>
                <c:pt idx="23">
                  <c:v>109.33424641799351</c:v>
                </c:pt>
              </c:numCache>
            </c:numRef>
          </c:yVal>
          <c:smooth val="0"/>
        </c:ser>
        <c:dLbls>
          <c:showLegendKey val="0"/>
          <c:showVal val="0"/>
          <c:showCatName val="0"/>
          <c:showSerName val="0"/>
          <c:showPercent val="0"/>
          <c:showBubbleSize val="0"/>
        </c:dLbls>
        <c:axId val="446117912"/>
        <c:axId val="449167520"/>
      </c:scatterChart>
      <c:valAx>
        <c:axId val="446117912"/>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167520"/>
        <c:crosses val="autoZero"/>
        <c:crossBetween val="midCat"/>
        <c:majorUnit val="45"/>
        <c:minorUnit val="15"/>
      </c:valAx>
      <c:valAx>
        <c:axId val="44916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Max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1179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Standing!$BL$3</c:f>
              <c:strCache>
                <c:ptCount val="1"/>
                <c:pt idx="0">
                  <c:v>Vector Sum of Moments</c:v>
                </c:pt>
              </c:strCache>
            </c:strRef>
          </c:tx>
          <c:spPr>
            <a:ln w="19050" cap="rnd">
              <a:solidFill>
                <a:schemeClr val="accent1"/>
              </a:solidFill>
              <a:round/>
            </a:ln>
            <a:effectLst/>
          </c:spPr>
          <c:marker>
            <c:symbol val="none"/>
          </c:marker>
          <c:xVal>
            <c:numRef>
              <c:f>Standing!$AM$6:$AM$30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Standing!$BL$6:$BL$30</c:f>
              <c:numCache>
                <c:formatCode>#,##0</c:formatCode>
                <c:ptCount val="25"/>
                <c:pt idx="0">
                  <c:v>181.19300032248714</c:v>
                </c:pt>
                <c:pt idx="1">
                  <c:v>181.19300032248714</c:v>
                </c:pt>
                <c:pt idx="2">
                  <c:v>181.19300032248711</c:v>
                </c:pt>
                <c:pt idx="3">
                  <c:v>181.19300032248714</c:v>
                </c:pt>
                <c:pt idx="4">
                  <c:v>181.19300032248711</c:v>
                </c:pt>
                <c:pt idx="5">
                  <c:v>181.19300032248711</c:v>
                </c:pt>
                <c:pt idx="6">
                  <c:v>181.19300032248711</c:v>
                </c:pt>
                <c:pt idx="7">
                  <c:v>181.19300032248714</c:v>
                </c:pt>
                <c:pt idx="8">
                  <c:v>181.19300032248711</c:v>
                </c:pt>
                <c:pt idx="9">
                  <c:v>181.19300032248711</c:v>
                </c:pt>
                <c:pt idx="10">
                  <c:v>181.19300032248711</c:v>
                </c:pt>
                <c:pt idx="11">
                  <c:v>181.19300032248714</c:v>
                </c:pt>
                <c:pt idx="12">
                  <c:v>181.19300032248714</c:v>
                </c:pt>
                <c:pt idx="13">
                  <c:v>181.19300032248714</c:v>
                </c:pt>
                <c:pt idx="14">
                  <c:v>181.19300032248711</c:v>
                </c:pt>
                <c:pt idx="15">
                  <c:v>181.19300032248711</c:v>
                </c:pt>
                <c:pt idx="16">
                  <c:v>181.19300032248711</c:v>
                </c:pt>
                <c:pt idx="17">
                  <c:v>181.19300032248708</c:v>
                </c:pt>
                <c:pt idx="18">
                  <c:v>181.19300032248711</c:v>
                </c:pt>
                <c:pt idx="19">
                  <c:v>181.19300032248714</c:v>
                </c:pt>
                <c:pt idx="20">
                  <c:v>181.19300032248711</c:v>
                </c:pt>
                <c:pt idx="21">
                  <c:v>181.19300032248711</c:v>
                </c:pt>
                <c:pt idx="22">
                  <c:v>181.19300032248711</c:v>
                </c:pt>
                <c:pt idx="23">
                  <c:v>181.19300032248711</c:v>
                </c:pt>
                <c:pt idx="24">
                  <c:v>181.19300032248711</c:v>
                </c:pt>
              </c:numCache>
            </c:numRef>
          </c:yVal>
          <c:smooth val="0"/>
        </c:ser>
        <c:ser>
          <c:idx val="1"/>
          <c:order val="1"/>
          <c:tx>
            <c:v>Fore-aft avge track pressure</c:v>
          </c:tx>
          <c:spPr>
            <a:ln w="19050" cap="rnd">
              <a:solidFill>
                <a:schemeClr val="accent2"/>
              </a:solidFill>
              <a:round/>
            </a:ln>
            <a:effectLst/>
          </c:spPr>
          <c:marker>
            <c:symbol val="none"/>
          </c:marker>
          <c:xVal>
            <c:numRef>
              <c:f>Standing!$AM$6:$AM$29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Standing!$M$6:$M$29</c:f>
            </c:numRef>
          </c:yVal>
          <c:smooth val="0"/>
        </c:ser>
        <c:ser>
          <c:idx val="2"/>
          <c:order val="2"/>
          <c:tx>
            <c:v>Max Track Pressure</c:v>
          </c:tx>
          <c:spPr>
            <a:ln w="19050" cap="rnd">
              <a:solidFill>
                <a:schemeClr val="accent3"/>
              </a:solidFill>
              <a:round/>
            </a:ln>
            <a:effectLst/>
          </c:spPr>
          <c:marker>
            <c:symbol val="none"/>
          </c:marker>
          <c:yVal>
            <c:numLit>
              <c:formatCode>General</c:formatCode>
              <c:ptCount val="1"/>
              <c:pt idx="0">
                <c:v>1</c:v>
              </c:pt>
            </c:numLit>
          </c:yVal>
          <c:smooth val="0"/>
        </c:ser>
        <c:dLbls>
          <c:showLegendKey val="0"/>
          <c:showVal val="0"/>
          <c:showCatName val="0"/>
          <c:showSerName val="0"/>
          <c:showPercent val="0"/>
          <c:showBubbleSize val="0"/>
        </c:dLbls>
        <c:axId val="456462008"/>
        <c:axId val="456462400"/>
      </c:scatterChart>
      <c:valAx>
        <c:axId val="456462008"/>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62400"/>
        <c:crosses val="autoZero"/>
        <c:crossBetween val="midCat"/>
        <c:majorUnit val="45"/>
        <c:minorUnit val="15"/>
      </c:valAx>
      <c:valAx>
        <c:axId val="456462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Vector sum of moments (kNm)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620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Penetrating!$Q$2:$Q$5</c:f>
              <c:strCache>
                <c:ptCount val="4"/>
                <c:pt idx="0">
                  <c:v>Min bearing pressure R.H. track (kN/m^2)</c:v>
                </c:pt>
              </c:strCache>
            </c:strRef>
          </c:tx>
          <c:spPr>
            <a:ln w="19050" cap="rnd">
              <a:solidFill>
                <a:schemeClr val="accent1"/>
              </a:solidFill>
              <a:round/>
            </a:ln>
            <a:effectLst/>
          </c:spPr>
          <c:marker>
            <c:symbol val="none"/>
          </c:marker>
          <c:xVal>
            <c:numRef>
              <c:f>Penetrating!$L$6:$L$29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Penetrating!$Q$6:$Q$29</c:f>
              <c:numCache>
                <c:formatCode>0</c:formatCode>
                <c:ptCount val="24"/>
                <c:pt idx="0">
                  <c:v>3.2743209317036177</c:v>
                </c:pt>
                <c:pt idx="1">
                  <c:v>4.6454502125441834</c:v>
                </c:pt>
                <c:pt idx="2">
                  <c:v>9.954910238469715</c:v>
                </c:pt>
                <c:pt idx="3">
                  <c:v>19.549173249309991</c:v>
                </c:pt>
                <c:pt idx="4">
                  <c:v>33.102334268165002</c:v>
                </c:pt>
                <c:pt idx="5">
                  <c:v>49.550452892770103</c:v>
                </c:pt>
                <c:pt idx="6">
                  <c:v>67.201656333506691</c:v>
                </c:pt>
                <c:pt idx="7">
                  <c:v>56.727972162212446</c:v>
                </c:pt>
                <c:pt idx="8">
                  <c:v>39.556071119546758</c:v>
                </c:pt>
                <c:pt idx="9">
                  <c:v>24.651702865981694</c:v>
                </c:pt>
                <c:pt idx="10">
                  <c:v>13.358503659384079</c:v>
                </c:pt>
                <c:pt idx="11">
                  <c:v>6.3057714863021763</c:v>
                </c:pt>
                <c:pt idx="12">
                  <c:v>3.4031777019875227</c:v>
                </c:pt>
                <c:pt idx="13">
                  <c:v>3.999911233291876</c:v>
                </c:pt>
                <c:pt idx="14">
                  <c:v>7.156416797033148</c:v>
                </c:pt>
                <c:pt idx="15">
                  <c:v>11.949280589115411</c:v>
                </c:pt>
                <c:pt idx="16">
                  <c:v>17.72394867067073</c:v>
                </c:pt>
                <c:pt idx="17">
                  <c:v>24.227201831518524</c:v>
                </c:pt>
                <c:pt idx="18">
                  <c:v>31.58681480303407</c:v>
                </c:pt>
                <c:pt idx="19">
                  <c:v>27.113096925699711</c:v>
                </c:pt>
                <c:pt idx="20">
                  <c:v>20.292822303977495</c:v>
                </c:pt>
                <c:pt idx="21">
                  <c:v>14.213681584234546</c:v>
                </c:pt>
                <c:pt idx="22">
                  <c:v>8.9620299682468758</c:v>
                </c:pt>
                <c:pt idx="23">
                  <c:v>5.0360737113665728</c:v>
                </c:pt>
              </c:numCache>
            </c:numRef>
          </c:yVal>
          <c:smooth val="0"/>
        </c:ser>
        <c:ser>
          <c:idx val="1"/>
          <c:order val="1"/>
          <c:tx>
            <c:strRef>
              <c:f>Penetrating!$O$2:$O$5</c:f>
              <c:strCache>
                <c:ptCount val="4"/>
                <c:pt idx="0">
                  <c:v>Min pressure L.H. track (kN/m^2)</c:v>
                </c:pt>
              </c:strCache>
            </c:strRef>
          </c:tx>
          <c:spPr>
            <a:ln w="19050" cap="rnd">
              <a:solidFill>
                <a:schemeClr val="accent2"/>
              </a:solidFill>
              <a:round/>
            </a:ln>
            <a:effectLst/>
          </c:spPr>
          <c:marker>
            <c:symbol val="none"/>
          </c:marker>
          <c:xVal>
            <c:numRef>
              <c:f>Penetrating!$L$6:$L$29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Penetrating!$O$6:$O$29</c:f>
              <c:numCache>
                <c:formatCode>0</c:formatCode>
                <c:ptCount val="24"/>
                <c:pt idx="0">
                  <c:v>3.4031777019875227</c:v>
                </c:pt>
                <c:pt idx="1">
                  <c:v>3.9999112332918756</c:v>
                </c:pt>
                <c:pt idx="2">
                  <c:v>7.1564167970331587</c:v>
                </c:pt>
                <c:pt idx="3">
                  <c:v>11.949280589115409</c:v>
                </c:pt>
                <c:pt idx="4">
                  <c:v>17.72394867067073</c:v>
                </c:pt>
                <c:pt idx="5">
                  <c:v>24.227201831518535</c:v>
                </c:pt>
                <c:pt idx="6">
                  <c:v>31.586814803034059</c:v>
                </c:pt>
                <c:pt idx="7">
                  <c:v>27.113096925699711</c:v>
                </c:pt>
                <c:pt idx="8">
                  <c:v>20.292822303977513</c:v>
                </c:pt>
                <c:pt idx="9">
                  <c:v>14.213681584234557</c:v>
                </c:pt>
                <c:pt idx="10">
                  <c:v>8.9620299682468794</c:v>
                </c:pt>
                <c:pt idx="11">
                  <c:v>5.0360737113665817</c:v>
                </c:pt>
                <c:pt idx="12">
                  <c:v>3.2743209317036177</c:v>
                </c:pt>
                <c:pt idx="13">
                  <c:v>4.6454502125441826</c:v>
                </c:pt>
                <c:pt idx="14">
                  <c:v>9.9549102384697026</c:v>
                </c:pt>
                <c:pt idx="15">
                  <c:v>19.549173249309991</c:v>
                </c:pt>
                <c:pt idx="16">
                  <c:v>33.102334268165002</c:v>
                </c:pt>
                <c:pt idx="17">
                  <c:v>49.550452892770089</c:v>
                </c:pt>
                <c:pt idx="18">
                  <c:v>67.201656333506719</c:v>
                </c:pt>
                <c:pt idx="19">
                  <c:v>56.727972162212446</c:v>
                </c:pt>
                <c:pt idx="20">
                  <c:v>39.556071119546715</c:v>
                </c:pt>
                <c:pt idx="21">
                  <c:v>24.651702865981672</c:v>
                </c:pt>
                <c:pt idx="22">
                  <c:v>13.35850365938407</c:v>
                </c:pt>
                <c:pt idx="23">
                  <c:v>6.3057714863021621</c:v>
                </c:pt>
              </c:numCache>
            </c:numRef>
          </c:yVal>
          <c:smooth val="0"/>
        </c:ser>
        <c:dLbls>
          <c:showLegendKey val="0"/>
          <c:showVal val="0"/>
          <c:showCatName val="0"/>
          <c:showSerName val="0"/>
          <c:showPercent val="0"/>
          <c:showBubbleSize val="0"/>
        </c:dLbls>
        <c:axId val="452885816"/>
        <c:axId val="452885032"/>
      </c:scatterChart>
      <c:valAx>
        <c:axId val="452885816"/>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85032"/>
        <c:crosses val="autoZero"/>
        <c:crossBetween val="midCat"/>
        <c:majorUnit val="45"/>
        <c:minorUnit val="15"/>
      </c:valAx>
      <c:valAx>
        <c:axId val="452885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85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Position of Non-Slewing Actions</c:v>
          </c:tx>
          <c:spPr>
            <a:ln w="25400" cap="rnd">
              <a:noFill/>
              <a:round/>
            </a:ln>
            <a:effectLst/>
          </c:spPr>
          <c:marker>
            <c:symbol val="square"/>
            <c:size val="8"/>
            <c:spPr>
              <a:solidFill>
                <a:srgbClr val="FF0000"/>
              </a:solidFill>
              <a:ln w="9525">
                <a:solidFill>
                  <a:srgbClr val="FF0000"/>
                </a:solidFill>
              </a:ln>
              <a:effectLst/>
            </c:spPr>
          </c:marker>
          <c:xVal>
            <c:numRef>
              <c:f>Extracting!$AP$6:$AP$30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xVal>
          <c:yVal>
            <c:numRef>
              <c:f>Extracting!$AQ$6:$AQ$30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0"/>
        </c:ser>
        <c:ser>
          <c:idx val="1"/>
          <c:order val="1"/>
          <c:tx>
            <c:v>Resultant of Slewing Actions</c:v>
          </c:tx>
          <c:spPr>
            <a:ln w="25400" cap="rnd">
              <a:noFill/>
              <a:round/>
            </a:ln>
            <a:effectLst/>
          </c:spPr>
          <c:marker>
            <c:symbol val="circle"/>
            <c:size val="5"/>
            <c:spPr>
              <a:noFill/>
              <a:ln w="9525">
                <a:solidFill>
                  <a:schemeClr val="accent2"/>
                </a:solidFill>
              </a:ln>
              <a:effectLst/>
            </c:spPr>
          </c:marker>
          <c:xVal>
            <c:numRef>
              <c:f>Extracting!$BA$6:$BA$30</c:f>
              <c:numCache>
                <c:formatCode>0.00</c:formatCode>
                <c:ptCount val="25"/>
                <c:pt idx="0">
                  <c:v>-0.39561315332997449</c:v>
                </c:pt>
                <c:pt idx="1">
                  <c:v>2.2372449689274921E-2</c:v>
                </c:pt>
                <c:pt idx="2">
                  <c:v>0.43883340723442149</c:v>
                </c:pt>
                <c:pt idx="3">
                  <c:v>0.8253885932830366</c:v>
                </c:pt>
                <c:pt idx="4">
                  <c:v>1.1556949107185563</c:v>
                </c:pt>
                <c:pt idx="5">
                  <c:v>1.4072425298647482</c:v>
                </c:pt>
                <c:pt idx="6">
                  <c:v>1.5628888961788954</c:v>
                </c:pt>
                <c:pt idx="7">
                  <c:v>1.6120269670144707</c:v>
                </c:pt>
                <c:pt idx="8">
                  <c:v>1.5513080640485308</c:v>
                </c:pt>
                <c:pt idx="9">
                  <c:v>1.3848700801754734</c:v>
                </c:pt>
                <c:pt idx="10">
                  <c:v>1.1240554889444745</c:v>
                </c:pt>
                <c:pt idx="11">
                  <c:v>0.78663837373143419</c:v>
                </c:pt>
                <c:pt idx="12">
                  <c:v>0.3956131533299746</c:v>
                </c:pt>
                <c:pt idx="13">
                  <c:v>-2.2372449689274366E-2</c:v>
                </c:pt>
                <c:pt idx="14">
                  <c:v>-0.43883340723442121</c:v>
                </c:pt>
                <c:pt idx="15">
                  <c:v>-0.8253885932830366</c:v>
                </c:pt>
                <c:pt idx="16">
                  <c:v>-1.1556949107185559</c:v>
                </c:pt>
                <c:pt idx="17">
                  <c:v>-1.4072425298647484</c:v>
                </c:pt>
                <c:pt idx="18">
                  <c:v>-1.5628888961788954</c:v>
                </c:pt>
                <c:pt idx="19">
                  <c:v>-1.6120269670144707</c:v>
                </c:pt>
                <c:pt idx="20">
                  <c:v>-1.5513080640485306</c:v>
                </c:pt>
                <c:pt idx="21">
                  <c:v>-1.3848700801754734</c:v>
                </c:pt>
                <c:pt idx="22">
                  <c:v>-1.1240554889444745</c:v>
                </c:pt>
                <c:pt idx="23">
                  <c:v>-0.78663837373143375</c:v>
                </c:pt>
                <c:pt idx="24">
                  <c:v>-0.39561315332997476</c:v>
                </c:pt>
              </c:numCache>
            </c:numRef>
          </c:xVal>
          <c:yVal>
            <c:numRef>
              <c:f>Extracting!$BB$6:$BB$30</c:f>
              <c:numCache>
                <c:formatCode>0.00</c:formatCode>
                <c:ptCount val="25"/>
                <c:pt idx="0">
                  <c:v>1.5628888961788954</c:v>
                </c:pt>
                <c:pt idx="1">
                  <c:v>1.6120269670144707</c:v>
                </c:pt>
                <c:pt idx="2">
                  <c:v>1.5513080640485308</c:v>
                </c:pt>
                <c:pt idx="3">
                  <c:v>1.3848700801754734</c:v>
                </c:pt>
                <c:pt idx="4">
                  <c:v>1.124055488944474</c:v>
                </c:pt>
                <c:pt idx="5">
                  <c:v>0.78663837373143419</c:v>
                </c:pt>
                <c:pt idx="6">
                  <c:v>0.39561315332997449</c:v>
                </c:pt>
                <c:pt idx="7">
                  <c:v>-2.2372449689275181E-2</c:v>
                </c:pt>
                <c:pt idx="8">
                  <c:v>-0.43883340723442166</c:v>
                </c:pt>
                <c:pt idx="9">
                  <c:v>-0.8253885932830366</c:v>
                </c:pt>
                <c:pt idx="10">
                  <c:v>-1.1556949107185559</c:v>
                </c:pt>
                <c:pt idx="11">
                  <c:v>-1.4072425298647482</c:v>
                </c:pt>
                <c:pt idx="12">
                  <c:v>-1.5628888961788954</c:v>
                </c:pt>
                <c:pt idx="13">
                  <c:v>-1.6120269670144707</c:v>
                </c:pt>
                <c:pt idx="14">
                  <c:v>-1.5513080640485308</c:v>
                </c:pt>
                <c:pt idx="15">
                  <c:v>-1.3848700801754734</c:v>
                </c:pt>
                <c:pt idx="16">
                  <c:v>-1.1240554889444745</c:v>
                </c:pt>
                <c:pt idx="17">
                  <c:v>-0.78663837373143375</c:v>
                </c:pt>
                <c:pt idx="18">
                  <c:v>-0.39561315332997471</c:v>
                </c:pt>
                <c:pt idx="19">
                  <c:v>2.2372449689274265E-2</c:v>
                </c:pt>
                <c:pt idx="20">
                  <c:v>0.43883340723442171</c:v>
                </c:pt>
                <c:pt idx="21">
                  <c:v>0.82538859328303638</c:v>
                </c:pt>
                <c:pt idx="22">
                  <c:v>1.1556949107185559</c:v>
                </c:pt>
                <c:pt idx="23">
                  <c:v>1.4072425298647484</c:v>
                </c:pt>
                <c:pt idx="24">
                  <c:v>1.5628888961788954</c:v>
                </c:pt>
              </c:numCache>
            </c:numRef>
          </c:yVal>
          <c:smooth val="0"/>
        </c:ser>
        <c:ser>
          <c:idx val="2"/>
          <c:order val="2"/>
          <c:tx>
            <c:strRef>
              <c:f>Extracting!$AO$34</c:f>
              <c:strCache>
                <c:ptCount val="1"/>
                <c:pt idx="0">
                  <c:v>LHS</c:v>
                </c:pt>
              </c:strCache>
            </c:strRef>
          </c:tx>
          <c:spPr>
            <a:ln w="25400" cap="rnd">
              <a:solidFill>
                <a:schemeClr val="accent1"/>
              </a:solidFill>
              <a:round/>
            </a:ln>
            <a:effectLst/>
          </c:spPr>
          <c:marker>
            <c:symbol val="none"/>
          </c:marker>
          <c:xVal>
            <c:numRef>
              <c:f>Extracting!$AO$36:$AO$40</c:f>
              <c:numCache>
                <c:formatCode>0.000</c:formatCode>
                <c:ptCount val="5"/>
                <c:pt idx="0">
                  <c:v>-2</c:v>
                </c:pt>
                <c:pt idx="1">
                  <c:v>-1.2999999999999998</c:v>
                </c:pt>
                <c:pt idx="2">
                  <c:v>-1.2999999999999998</c:v>
                </c:pt>
                <c:pt idx="3">
                  <c:v>-2</c:v>
                </c:pt>
                <c:pt idx="4">
                  <c:v>-2</c:v>
                </c:pt>
              </c:numCache>
            </c:numRef>
          </c:xVal>
          <c:yVal>
            <c:numRef>
              <c:f>Extracting!$AP$36:$AP$40</c:f>
              <c:numCache>
                <c:formatCode>0.000</c:formatCode>
                <c:ptCount val="5"/>
                <c:pt idx="0">
                  <c:v>1.907</c:v>
                </c:pt>
                <c:pt idx="1">
                  <c:v>1.907</c:v>
                </c:pt>
                <c:pt idx="2">
                  <c:v>-1.907</c:v>
                </c:pt>
                <c:pt idx="3">
                  <c:v>-1.907</c:v>
                </c:pt>
                <c:pt idx="4">
                  <c:v>1.907</c:v>
                </c:pt>
              </c:numCache>
            </c:numRef>
          </c:yVal>
          <c:smooth val="0"/>
        </c:ser>
        <c:ser>
          <c:idx val="3"/>
          <c:order val="3"/>
          <c:tx>
            <c:strRef>
              <c:f>Extracting!$AR$34</c:f>
              <c:strCache>
                <c:ptCount val="1"/>
                <c:pt idx="0">
                  <c:v>RHS</c:v>
                </c:pt>
              </c:strCache>
            </c:strRef>
          </c:tx>
          <c:spPr>
            <a:ln w="25400" cap="rnd">
              <a:solidFill>
                <a:schemeClr val="accent1"/>
              </a:solidFill>
              <a:round/>
            </a:ln>
            <a:effectLst/>
          </c:spPr>
          <c:marker>
            <c:symbol val="none"/>
          </c:marker>
          <c:xVal>
            <c:numRef>
              <c:f>Extracting!$AR$36:$AR$40</c:f>
              <c:numCache>
                <c:formatCode>0.000</c:formatCode>
                <c:ptCount val="5"/>
                <c:pt idx="0">
                  <c:v>2</c:v>
                </c:pt>
                <c:pt idx="1">
                  <c:v>1.2999999999999998</c:v>
                </c:pt>
                <c:pt idx="2">
                  <c:v>1.2999999999999998</c:v>
                </c:pt>
                <c:pt idx="3">
                  <c:v>2</c:v>
                </c:pt>
                <c:pt idx="4">
                  <c:v>2</c:v>
                </c:pt>
              </c:numCache>
            </c:numRef>
          </c:xVal>
          <c:yVal>
            <c:numRef>
              <c:f>Extracting!$AS$36:$AS$40</c:f>
              <c:numCache>
                <c:formatCode>0.000</c:formatCode>
                <c:ptCount val="5"/>
                <c:pt idx="0">
                  <c:v>1.907</c:v>
                </c:pt>
                <c:pt idx="1">
                  <c:v>1.907</c:v>
                </c:pt>
                <c:pt idx="2">
                  <c:v>-1.907</c:v>
                </c:pt>
                <c:pt idx="3">
                  <c:v>-1.907</c:v>
                </c:pt>
                <c:pt idx="4">
                  <c:v>1.907</c:v>
                </c:pt>
              </c:numCache>
            </c:numRef>
          </c:yVal>
          <c:smooth val="0"/>
        </c:ser>
        <c:ser>
          <c:idx val="4"/>
          <c:order val="4"/>
          <c:tx>
            <c:v>Net Resultant of All Actions</c:v>
          </c:tx>
          <c:spPr>
            <a:ln w="25400" cap="rnd">
              <a:noFill/>
              <a:round/>
            </a:ln>
            <a:effectLst/>
          </c:spPr>
          <c:marker>
            <c:symbol val="circle"/>
            <c:size val="5"/>
            <c:spPr>
              <a:solidFill>
                <a:schemeClr val="accent5"/>
              </a:solidFill>
              <a:ln w="9525">
                <a:solidFill>
                  <a:schemeClr val="accent5"/>
                </a:solidFill>
              </a:ln>
              <a:effectLst/>
            </c:spPr>
          </c:marker>
          <c:xVal>
            <c:numRef>
              <c:f>Extracting!$BH$6:$BH$30</c:f>
              <c:numCache>
                <c:formatCode>0.00</c:formatCode>
                <c:ptCount val="25"/>
                <c:pt idx="0">
                  <c:v>-0.29762210076460949</c:v>
                </c:pt>
                <c:pt idx="1">
                  <c:v>1.683092541217597E-2</c:v>
                </c:pt>
                <c:pt idx="2">
                  <c:v>0.33013695183654101</c:v>
                </c:pt>
                <c:pt idx="3">
                  <c:v>0.6209446905703544</c:v>
                </c:pt>
                <c:pt idx="4">
                  <c:v>0.86943607480141794</c:v>
                </c:pt>
                <c:pt idx="5">
                  <c:v>1.0586768273458131</c:v>
                </c:pt>
                <c:pt idx="6">
                  <c:v>1.1757705036527697</c:v>
                </c:pt>
                <c:pt idx="7">
                  <c:v>1.2127373631884182</c:v>
                </c:pt>
                <c:pt idx="8">
                  <c:v>1.1670581755660274</c:v>
                </c:pt>
                <c:pt idx="9">
                  <c:v>1.0418459019336372</c:v>
                </c:pt>
                <c:pt idx="10">
                  <c:v>0.84563355181622912</c:v>
                </c:pt>
                <c:pt idx="11">
                  <c:v>0.59179267261806368</c:v>
                </c:pt>
                <c:pt idx="12">
                  <c:v>0.29762210076460954</c:v>
                </c:pt>
                <c:pt idx="13">
                  <c:v>-1.6830925412175554E-2</c:v>
                </c:pt>
                <c:pt idx="14">
                  <c:v>-0.33013695183654079</c:v>
                </c:pt>
                <c:pt idx="15">
                  <c:v>-0.6209446905703544</c:v>
                </c:pt>
                <c:pt idx="16">
                  <c:v>-0.8694360748014176</c:v>
                </c:pt>
                <c:pt idx="17">
                  <c:v>-1.0586768273458131</c:v>
                </c:pt>
                <c:pt idx="18">
                  <c:v>-1.1757705036527697</c:v>
                </c:pt>
                <c:pt idx="19">
                  <c:v>-1.2127373631884182</c:v>
                </c:pt>
                <c:pt idx="20">
                  <c:v>-1.1670581755660274</c:v>
                </c:pt>
                <c:pt idx="21">
                  <c:v>-1.0418459019336372</c:v>
                </c:pt>
                <c:pt idx="22">
                  <c:v>-0.84563355181622912</c:v>
                </c:pt>
                <c:pt idx="23">
                  <c:v>-0.59179267261806334</c:v>
                </c:pt>
                <c:pt idx="24">
                  <c:v>-0.29762210076460971</c:v>
                </c:pt>
              </c:numCache>
            </c:numRef>
          </c:xVal>
          <c:yVal>
            <c:numRef>
              <c:f>Extracting!$BI$6:$BI$30</c:f>
              <c:numCache>
                <c:formatCode>0.00</c:formatCode>
                <c:ptCount val="25"/>
                <c:pt idx="0">
                  <c:v>1.1757705036527697</c:v>
                </c:pt>
                <c:pt idx="1">
                  <c:v>1.2127373631884182</c:v>
                </c:pt>
                <c:pt idx="2">
                  <c:v>1.1670581755660274</c:v>
                </c:pt>
                <c:pt idx="3">
                  <c:v>1.0418459019336372</c:v>
                </c:pt>
                <c:pt idx="4">
                  <c:v>0.84563355181622868</c:v>
                </c:pt>
                <c:pt idx="5">
                  <c:v>0.59179267261806368</c:v>
                </c:pt>
                <c:pt idx="6">
                  <c:v>0.29762210076460949</c:v>
                </c:pt>
                <c:pt idx="7">
                  <c:v>-1.6830925412176168E-2</c:v>
                </c:pt>
                <c:pt idx="8">
                  <c:v>-0.33013695183654118</c:v>
                </c:pt>
                <c:pt idx="9">
                  <c:v>-0.6209446905703544</c:v>
                </c:pt>
                <c:pt idx="10">
                  <c:v>-0.8694360748014176</c:v>
                </c:pt>
                <c:pt idx="11">
                  <c:v>-1.0586768273458131</c:v>
                </c:pt>
                <c:pt idx="12">
                  <c:v>-1.1757705036527697</c:v>
                </c:pt>
                <c:pt idx="13">
                  <c:v>-1.2127373631884182</c:v>
                </c:pt>
                <c:pt idx="14">
                  <c:v>-1.1670581755660274</c:v>
                </c:pt>
                <c:pt idx="15">
                  <c:v>-1.0418459019336372</c:v>
                </c:pt>
                <c:pt idx="16">
                  <c:v>-0.84563355181622912</c:v>
                </c:pt>
                <c:pt idx="17">
                  <c:v>-0.59179267261806334</c:v>
                </c:pt>
                <c:pt idx="18">
                  <c:v>-0.29762210076460965</c:v>
                </c:pt>
                <c:pt idx="19">
                  <c:v>1.6830925412175478E-2</c:v>
                </c:pt>
                <c:pt idx="20">
                  <c:v>0.33013695183654118</c:v>
                </c:pt>
                <c:pt idx="21">
                  <c:v>0.62094469057035429</c:v>
                </c:pt>
                <c:pt idx="22">
                  <c:v>0.8694360748014176</c:v>
                </c:pt>
                <c:pt idx="23">
                  <c:v>1.0586768273458131</c:v>
                </c:pt>
                <c:pt idx="24">
                  <c:v>1.1757705036527697</c:v>
                </c:pt>
              </c:numCache>
            </c:numRef>
          </c:yVal>
          <c:smooth val="0"/>
        </c:ser>
        <c:dLbls>
          <c:showLegendKey val="0"/>
          <c:showVal val="0"/>
          <c:showCatName val="0"/>
          <c:showSerName val="0"/>
          <c:showPercent val="0"/>
          <c:showBubbleSize val="0"/>
        </c:dLbls>
        <c:axId val="452886208"/>
        <c:axId val="452887384"/>
      </c:scatterChart>
      <c:valAx>
        <c:axId val="452886208"/>
        <c:scaling>
          <c:orientation val="minMax"/>
          <c:max val="5"/>
          <c:min val="-5"/>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87384"/>
        <c:crosses val="autoZero"/>
        <c:crossBetween val="midCat"/>
        <c:minorUnit val="0.5"/>
      </c:valAx>
      <c:valAx>
        <c:axId val="452887384"/>
        <c:scaling>
          <c:orientation val="minMax"/>
          <c:max val="5"/>
          <c:min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886208"/>
        <c:crosses val="autoZero"/>
        <c:crossBetween val="midCat"/>
        <c:minorUnit val="0.5"/>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Extracting!$BL$3</c:f>
              <c:strCache>
                <c:ptCount val="1"/>
                <c:pt idx="0">
                  <c:v>Vector Sum of Moments</c:v>
                </c:pt>
              </c:strCache>
            </c:strRef>
          </c:tx>
          <c:spPr>
            <a:ln w="19050" cap="rnd">
              <a:solidFill>
                <a:schemeClr val="accent1"/>
              </a:solidFill>
              <a:round/>
            </a:ln>
            <a:effectLst/>
          </c:spPr>
          <c:marker>
            <c:symbol val="none"/>
          </c:marker>
          <c:xVal>
            <c:numRef>
              <c:f>Extracting!$AM$6:$AM$30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Extracting!$BL$6:$BL$30</c:f>
              <c:numCache>
                <c:formatCode>#,##0</c:formatCode>
                <c:ptCount val="25"/>
                <c:pt idx="0">
                  <c:v>480.35452515180242</c:v>
                </c:pt>
                <c:pt idx="1">
                  <c:v>480.35452515180248</c:v>
                </c:pt>
                <c:pt idx="2">
                  <c:v>480.35452515180242</c:v>
                </c:pt>
                <c:pt idx="3">
                  <c:v>480.35452515180242</c:v>
                </c:pt>
                <c:pt idx="4">
                  <c:v>480.35452515180242</c:v>
                </c:pt>
                <c:pt idx="5">
                  <c:v>480.35452515180242</c:v>
                </c:pt>
                <c:pt idx="6">
                  <c:v>480.35452515180242</c:v>
                </c:pt>
                <c:pt idx="7">
                  <c:v>480.35452515180248</c:v>
                </c:pt>
                <c:pt idx="8">
                  <c:v>480.35452515180248</c:v>
                </c:pt>
                <c:pt idx="9">
                  <c:v>480.35452515180242</c:v>
                </c:pt>
                <c:pt idx="10">
                  <c:v>480.35452515180242</c:v>
                </c:pt>
                <c:pt idx="11">
                  <c:v>480.35452515180242</c:v>
                </c:pt>
                <c:pt idx="12">
                  <c:v>480.35452515180242</c:v>
                </c:pt>
                <c:pt idx="13">
                  <c:v>480.35452515180248</c:v>
                </c:pt>
                <c:pt idx="14">
                  <c:v>480.35452515180242</c:v>
                </c:pt>
                <c:pt idx="15">
                  <c:v>480.35452515180242</c:v>
                </c:pt>
                <c:pt idx="16">
                  <c:v>480.35452515180242</c:v>
                </c:pt>
                <c:pt idx="17">
                  <c:v>480.35452515180242</c:v>
                </c:pt>
                <c:pt idx="18">
                  <c:v>480.35452515180242</c:v>
                </c:pt>
                <c:pt idx="19">
                  <c:v>480.35452515180248</c:v>
                </c:pt>
                <c:pt idx="20">
                  <c:v>480.35452515180242</c:v>
                </c:pt>
                <c:pt idx="21">
                  <c:v>480.35452515180236</c:v>
                </c:pt>
                <c:pt idx="22">
                  <c:v>480.35452515180242</c:v>
                </c:pt>
                <c:pt idx="23">
                  <c:v>480.35452515180242</c:v>
                </c:pt>
                <c:pt idx="24">
                  <c:v>480.35452515180242</c:v>
                </c:pt>
              </c:numCache>
            </c:numRef>
          </c:yVal>
          <c:smooth val="0"/>
        </c:ser>
        <c:ser>
          <c:idx val="1"/>
          <c:order val="1"/>
          <c:tx>
            <c:v>Fore-aft avge track pressure</c:v>
          </c:tx>
          <c:spPr>
            <a:ln w="19050" cap="rnd">
              <a:solidFill>
                <a:schemeClr val="accent2"/>
              </a:solidFill>
              <a:round/>
            </a:ln>
            <a:effectLst/>
          </c:spPr>
          <c:marker>
            <c:symbol val="none"/>
          </c:marker>
          <c:xVal>
            <c:numRef>
              <c:f>Standing!$AM$6:$AM$29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Standing!$M$6:$M$29</c:f>
            </c:numRef>
          </c:yVal>
          <c:smooth val="0"/>
        </c:ser>
        <c:ser>
          <c:idx val="2"/>
          <c:order val="2"/>
          <c:tx>
            <c:v>Max Track Pressure</c:v>
          </c:tx>
          <c:spPr>
            <a:ln w="19050" cap="rnd">
              <a:solidFill>
                <a:schemeClr val="accent3"/>
              </a:solidFill>
              <a:round/>
            </a:ln>
            <a:effectLst/>
          </c:spPr>
          <c:marker>
            <c:symbol val="none"/>
          </c:marker>
          <c:yVal>
            <c:numLit>
              <c:formatCode>General</c:formatCode>
              <c:ptCount val="1"/>
              <c:pt idx="0">
                <c:v>1</c:v>
              </c:pt>
            </c:numLit>
          </c:yVal>
          <c:smooth val="0"/>
        </c:ser>
        <c:dLbls>
          <c:showLegendKey val="0"/>
          <c:showVal val="0"/>
          <c:showCatName val="0"/>
          <c:showSerName val="0"/>
          <c:showPercent val="0"/>
          <c:showBubbleSize val="0"/>
        </c:dLbls>
        <c:axId val="446116736"/>
        <c:axId val="446117128"/>
      </c:scatterChart>
      <c:valAx>
        <c:axId val="446116736"/>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117128"/>
        <c:crosses val="autoZero"/>
        <c:crossBetween val="midCat"/>
        <c:majorUnit val="45"/>
        <c:minorUnit val="15"/>
      </c:valAx>
      <c:valAx>
        <c:axId val="446117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Vector sum of moments (kNm)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1167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Extracting!$AA$2:$AA$4</c:f>
              <c:strCache>
                <c:ptCount val="3"/>
                <c:pt idx="0">
                  <c:v>Force on track</c:v>
                </c:pt>
                <c:pt idx="2">
                  <c:v>PL</c:v>
                </c:pt>
              </c:strCache>
            </c:strRef>
          </c:tx>
          <c:spPr>
            <a:ln w="19050" cap="rnd">
              <a:solidFill>
                <a:schemeClr val="accent1"/>
              </a:solidFill>
              <a:round/>
            </a:ln>
            <a:effectLst/>
          </c:spPr>
          <c:marker>
            <c:symbol val="none"/>
          </c:marker>
          <c:xVal>
            <c:numRef>
              <c:f>Extracting!$AM$6:$AM$30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Extracting!$AA$6:$AA$30</c:f>
              <c:numCache>
                <c:formatCode>0</c:formatCode>
                <c:ptCount val="25"/>
                <c:pt idx="0" formatCode="0.0">
                  <c:v>233.74593208306845</c:v>
                </c:pt>
                <c:pt idx="1">
                  <c:v>196.0065186356762</c:v>
                </c:pt>
                <c:pt idx="2">
                  <c:v>158.40476358008556</c:v>
                </c:pt>
                <c:pt idx="3">
                  <c:v>123.5031643834968</c:v>
                </c:pt>
                <c:pt idx="4">
                  <c:v>93.680207353537583</c:v>
                </c:pt>
                <c:pt idx="5">
                  <c:v>70.968277727032927</c:v>
                </c:pt>
                <c:pt idx="6">
                  <c:v>56.915155974790778</c:v>
                </c:pt>
                <c:pt idx="7">
                  <c:v>52.478539120344657</c:v>
                </c:pt>
                <c:pt idx="8">
                  <c:v>57.960775270469128</c:v>
                </c:pt>
                <c:pt idx="9">
                  <c:v>72.98825909135671</c:v>
                </c:pt>
                <c:pt idx="10">
                  <c:v>96.536892394705148</c:v>
                </c:pt>
                <c:pt idx="11">
                  <c:v>127.00187473684787</c:v>
                </c:pt>
                <c:pt idx="12">
                  <c:v>162.30706791693152</c:v>
                </c:pt>
                <c:pt idx="13">
                  <c:v>200.04648136432374</c:v>
                </c:pt>
                <c:pt idx="14">
                  <c:v>237.64823641991435</c:v>
                </c:pt>
                <c:pt idx="15">
                  <c:v>272.54983561650323</c:v>
                </c:pt>
                <c:pt idx="16">
                  <c:v>302.37279264646236</c:v>
                </c:pt>
                <c:pt idx="17">
                  <c:v>325.08472227296704</c:v>
                </c:pt>
                <c:pt idx="18">
                  <c:v>339.13784402520923</c:v>
                </c:pt>
                <c:pt idx="19">
                  <c:v>343.57446087965531</c:v>
                </c:pt>
                <c:pt idx="20">
                  <c:v>338.09222472953087</c:v>
                </c:pt>
                <c:pt idx="21">
                  <c:v>323.06474090864327</c:v>
                </c:pt>
                <c:pt idx="22">
                  <c:v>299.51610760529485</c:v>
                </c:pt>
                <c:pt idx="23">
                  <c:v>269.05112526315207</c:v>
                </c:pt>
                <c:pt idx="24">
                  <c:v>233.74593208306845</c:v>
                </c:pt>
              </c:numCache>
            </c:numRef>
          </c:yVal>
          <c:smooth val="0"/>
        </c:ser>
        <c:ser>
          <c:idx val="1"/>
          <c:order val="1"/>
          <c:tx>
            <c:strRef>
              <c:f>Extracting!$AG$2:$AG$4</c:f>
              <c:strCache>
                <c:ptCount val="3"/>
                <c:pt idx="0">
                  <c:v>Force on track</c:v>
                </c:pt>
                <c:pt idx="2">
                  <c:v>PR</c:v>
                </c:pt>
              </c:strCache>
            </c:strRef>
          </c:tx>
          <c:spPr>
            <a:ln w="19050" cap="rnd">
              <a:solidFill>
                <a:schemeClr val="accent2"/>
              </a:solidFill>
              <a:round/>
            </a:ln>
            <a:effectLst/>
          </c:spPr>
          <c:marker>
            <c:symbol val="none"/>
          </c:marker>
          <c:xVal>
            <c:numRef>
              <c:f>Extracting!$AM$6:$AM$30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Extracting!$AG$6:$AG$30</c:f>
              <c:numCache>
                <c:formatCode>0</c:formatCode>
                <c:ptCount val="25"/>
                <c:pt idx="0">
                  <c:v>162.30706791693154</c:v>
                </c:pt>
                <c:pt idx="1">
                  <c:v>200.0464813643238</c:v>
                </c:pt>
                <c:pt idx="2">
                  <c:v>237.64823641991444</c:v>
                </c:pt>
                <c:pt idx="3">
                  <c:v>272.54983561650317</c:v>
                </c:pt>
                <c:pt idx="4">
                  <c:v>302.37279264646241</c:v>
                </c:pt>
                <c:pt idx="5">
                  <c:v>325.08472227296704</c:v>
                </c:pt>
                <c:pt idx="6">
                  <c:v>339.13784402520923</c:v>
                </c:pt>
                <c:pt idx="7">
                  <c:v>343.57446087965536</c:v>
                </c:pt>
                <c:pt idx="8">
                  <c:v>338.09222472953087</c:v>
                </c:pt>
                <c:pt idx="9">
                  <c:v>323.06474090864327</c:v>
                </c:pt>
                <c:pt idx="10">
                  <c:v>299.51610760529485</c:v>
                </c:pt>
                <c:pt idx="11">
                  <c:v>269.05112526315213</c:v>
                </c:pt>
                <c:pt idx="12">
                  <c:v>233.74593208306848</c:v>
                </c:pt>
                <c:pt idx="13">
                  <c:v>196.00651863567626</c:v>
                </c:pt>
                <c:pt idx="14">
                  <c:v>158.40476358008564</c:v>
                </c:pt>
                <c:pt idx="15">
                  <c:v>123.50316438349677</c:v>
                </c:pt>
                <c:pt idx="16">
                  <c:v>93.680207353537639</c:v>
                </c:pt>
                <c:pt idx="17">
                  <c:v>70.968277727032955</c:v>
                </c:pt>
                <c:pt idx="18">
                  <c:v>56.915155974790764</c:v>
                </c:pt>
                <c:pt idx="19">
                  <c:v>52.478539120344692</c:v>
                </c:pt>
                <c:pt idx="20">
                  <c:v>57.960775270469128</c:v>
                </c:pt>
                <c:pt idx="21">
                  <c:v>72.988259091356724</c:v>
                </c:pt>
                <c:pt idx="22">
                  <c:v>96.536892394705148</c:v>
                </c:pt>
                <c:pt idx="23">
                  <c:v>127.00187473684792</c:v>
                </c:pt>
                <c:pt idx="24">
                  <c:v>162.30706791693154</c:v>
                </c:pt>
              </c:numCache>
            </c:numRef>
          </c:yVal>
          <c:smooth val="0"/>
        </c:ser>
        <c:dLbls>
          <c:showLegendKey val="0"/>
          <c:showVal val="0"/>
          <c:showCatName val="0"/>
          <c:showSerName val="0"/>
          <c:showPercent val="0"/>
          <c:showBubbleSize val="0"/>
        </c:dLbls>
        <c:axId val="446118304"/>
        <c:axId val="449168304"/>
      </c:scatterChart>
      <c:valAx>
        <c:axId val="446118304"/>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168304"/>
        <c:crosses val="autoZero"/>
        <c:crossBetween val="midCat"/>
        <c:majorUnit val="45"/>
        <c:minorUnit val="15"/>
      </c:valAx>
      <c:valAx>
        <c:axId val="44916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Force on TRack (kN)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1183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Extracting!$P$2:$P$5</c:f>
              <c:strCache>
                <c:ptCount val="4"/>
                <c:pt idx="0">
                  <c:v>Max bearing pressure R.H. track (kN/m^2)</c:v>
                </c:pt>
              </c:strCache>
            </c:strRef>
          </c:tx>
          <c:spPr>
            <a:ln w="19050" cap="rnd">
              <a:solidFill>
                <a:schemeClr val="accent1"/>
              </a:solidFill>
              <a:round/>
            </a:ln>
            <a:effectLst/>
          </c:spPr>
          <c:marker>
            <c:symbol val="none"/>
          </c:marker>
          <c:xVal>
            <c:numRef>
              <c:f>Extracting!$L$6:$L$29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Extracting!$P$6:$P$29</c:f>
              <c:numCache>
                <c:formatCode>0</c:formatCode>
                <c:ptCount val="24"/>
                <c:pt idx="0">
                  <c:v>211.39486398328287</c:v>
                </c:pt>
                <c:pt idx="1">
                  <c:v>274.42130447518105</c:v>
                </c:pt>
                <c:pt idx="2">
                  <c:v>305.87763288875715</c:v>
                </c:pt>
                <c:pt idx="3">
                  <c:v>300.02894582117165</c:v>
                </c:pt>
                <c:pt idx="4">
                  <c:v>271.32390394242475</c:v>
                </c:pt>
                <c:pt idx="5">
                  <c:v>235.12321277052592</c:v>
                </c:pt>
                <c:pt idx="6">
                  <c:v>186.50227199324823</c:v>
                </c:pt>
                <c:pt idx="7">
                  <c:v>132.09659404092793</c:v>
                </c:pt>
                <c:pt idx="8">
                  <c:v>192.40477430394654</c:v>
                </c:pt>
                <c:pt idx="9">
                  <c:v>239.21167686553324</c:v>
                </c:pt>
                <c:pt idx="10">
                  <c:v>274.92613118750353</c:v>
                </c:pt>
                <c:pt idx="11">
                  <c:v>302.05371629255484</c:v>
                </c:pt>
                <c:pt idx="12">
                  <c:v>304.43954261212622</c:v>
                </c:pt>
                <c:pt idx="13">
                  <c:v>268.87933325696457</c:v>
                </c:pt>
                <c:pt idx="14">
                  <c:v>203.88316299796276</c:v>
                </c:pt>
                <c:pt idx="15">
                  <c:v>135.95504151284001</c:v>
                </c:pt>
                <c:pt idx="16">
                  <c:v>84.060736281310582</c:v>
                </c:pt>
                <c:pt idx="17">
                  <c:v>51.329048462510634</c:v>
                </c:pt>
                <c:pt idx="18">
                  <c:v>31.299384858268855</c:v>
                </c:pt>
                <c:pt idx="19">
                  <c:v>20.1768090104616</c:v>
                </c:pt>
                <c:pt idx="20">
                  <c:v>32.984875334881686</c:v>
                </c:pt>
                <c:pt idx="21">
                  <c:v>54.04379258359458</c:v>
                </c:pt>
                <c:pt idx="22">
                  <c:v>88.611308938068746</c:v>
                </c:pt>
                <c:pt idx="23">
                  <c:v>142.58029288250009</c:v>
                </c:pt>
              </c:numCache>
            </c:numRef>
          </c:yVal>
          <c:smooth val="0"/>
        </c:ser>
        <c:ser>
          <c:idx val="1"/>
          <c:order val="1"/>
          <c:tx>
            <c:strRef>
              <c:f>Extracting!$N$2:$N$5</c:f>
              <c:strCache>
                <c:ptCount val="4"/>
                <c:pt idx="0">
                  <c:v>Max bearing pressure L.H. track (kN/m^2)</c:v>
                </c:pt>
              </c:strCache>
            </c:strRef>
          </c:tx>
          <c:spPr>
            <a:ln w="19050" cap="rnd">
              <a:solidFill>
                <a:schemeClr val="accent2"/>
              </a:solidFill>
              <a:round/>
            </a:ln>
            <a:effectLst/>
          </c:spPr>
          <c:marker>
            <c:symbol val="none"/>
          </c:marker>
          <c:xVal>
            <c:numRef>
              <c:f>Extracting!$L$6:$L$29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Extracting!$N$6:$N$29</c:f>
              <c:numCache>
                <c:formatCode>0</c:formatCode>
                <c:ptCount val="24"/>
                <c:pt idx="0">
                  <c:v>304.43954261212622</c:v>
                </c:pt>
                <c:pt idx="1">
                  <c:v>268.87933325696451</c:v>
                </c:pt>
                <c:pt idx="2">
                  <c:v>203.88316299796267</c:v>
                </c:pt>
                <c:pt idx="3">
                  <c:v>135.95504151284001</c:v>
                </c:pt>
                <c:pt idx="4">
                  <c:v>84.060736281310525</c:v>
                </c:pt>
                <c:pt idx="5">
                  <c:v>51.329048462510649</c:v>
                </c:pt>
                <c:pt idx="6">
                  <c:v>31.299384858268851</c:v>
                </c:pt>
                <c:pt idx="7">
                  <c:v>20.176809010461621</c:v>
                </c:pt>
                <c:pt idx="8">
                  <c:v>32.984875334881686</c:v>
                </c:pt>
                <c:pt idx="9">
                  <c:v>54.04379258359458</c:v>
                </c:pt>
                <c:pt idx="10">
                  <c:v>88.611308938068746</c:v>
                </c:pt>
                <c:pt idx="11">
                  <c:v>142.58029288250003</c:v>
                </c:pt>
                <c:pt idx="12">
                  <c:v>211.39486398328287</c:v>
                </c:pt>
                <c:pt idx="13">
                  <c:v>274.42130447518099</c:v>
                </c:pt>
                <c:pt idx="14">
                  <c:v>305.87763288875709</c:v>
                </c:pt>
                <c:pt idx="15">
                  <c:v>300.02894582117165</c:v>
                </c:pt>
                <c:pt idx="16">
                  <c:v>271.32390394242486</c:v>
                </c:pt>
                <c:pt idx="17">
                  <c:v>235.1232127705259</c:v>
                </c:pt>
                <c:pt idx="18">
                  <c:v>186.50227199324826</c:v>
                </c:pt>
                <c:pt idx="19">
                  <c:v>132.09659404092778</c:v>
                </c:pt>
                <c:pt idx="20">
                  <c:v>192.40477430394654</c:v>
                </c:pt>
                <c:pt idx="21">
                  <c:v>239.21167686553324</c:v>
                </c:pt>
                <c:pt idx="22">
                  <c:v>274.92613118750353</c:v>
                </c:pt>
                <c:pt idx="23">
                  <c:v>302.05371629255478</c:v>
                </c:pt>
              </c:numCache>
            </c:numRef>
          </c:yVal>
          <c:smooth val="0"/>
        </c:ser>
        <c:dLbls>
          <c:showLegendKey val="0"/>
          <c:showVal val="0"/>
          <c:showCatName val="0"/>
          <c:showSerName val="0"/>
          <c:showPercent val="0"/>
          <c:showBubbleSize val="0"/>
        </c:dLbls>
        <c:axId val="451221104"/>
        <c:axId val="451222672"/>
      </c:scatterChart>
      <c:valAx>
        <c:axId val="451221104"/>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222672"/>
        <c:crosses val="autoZero"/>
        <c:crossBetween val="midCat"/>
        <c:majorUnit val="45"/>
        <c:minorUnit val="15"/>
      </c:valAx>
      <c:valAx>
        <c:axId val="451222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Max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2211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Extracting!$Q$2:$Q$5</c:f>
              <c:strCache>
                <c:ptCount val="4"/>
                <c:pt idx="0">
                  <c:v>Min bearing pressure R.H. track (kN/m^2)</c:v>
                </c:pt>
              </c:strCache>
            </c:strRef>
          </c:tx>
          <c:spPr>
            <a:ln w="19050" cap="rnd">
              <a:solidFill>
                <a:schemeClr val="accent1"/>
              </a:solidFill>
              <a:round/>
            </a:ln>
            <a:effectLst/>
          </c:spPr>
          <c:marker>
            <c:symbol val="none"/>
          </c:marker>
          <c:xVal>
            <c:numRef>
              <c:f>Extracting!$L$6:$L$29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Extracting!$Q$6:$Q$29</c:f>
              <c:numCache>
                <c:formatCode>0</c:formatCode>
                <c:ptCount val="24"/>
                <c:pt idx="0">
                  <c:v>0</c:v>
                </c:pt>
                <c:pt idx="1">
                  <c:v>0</c:v>
                </c:pt>
                <c:pt idx="2">
                  <c:v>0</c:v>
                </c:pt>
                <c:pt idx="3">
                  <c:v>0</c:v>
                </c:pt>
                <c:pt idx="4">
                  <c:v>0</c:v>
                </c:pt>
                <c:pt idx="5">
                  <c:v>8.4041842427087907</c:v>
                </c:pt>
                <c:pt idx="6">
                  <c:v>67.552596555114391</c:v>
                </c:pt>
                <c:pt idx="7">
                  <c:v>125.28183196825279</c:v>
                </c:pt>
                <c:pt idx="8">
                  <c:v>60.866800143226207</c:v>
                </c:pt>
                <c:pt idx="9">
                  <c:v>2.8025121438631873</c:v>
                </c:pt>
                <c:pt idx="10">
                  <c:v>0</c:v>
                </c:pt>
                <c:pt idx="11">
                  <c:v>0</c:v>
                </c:pt>
                <c:pt idx="12">
                  <c:v>0</c:v>
                </c:pt>
                <c:pt idx="13">
                  <c:v>0</c:v>
                </c:pt>
                <c:pt idx="14">
                  <c:v>0</c:v>
                </c:pt>
                <c:pt idx="15">
                  <c:v>0</c:v>
                </c:pt>
                <c:pt idx="16">
                  <c:v>0</c:v>
                </c:pt>
                <c:pt idx="17">
                  <c:v>1.8346924372068938</c:v>
                </c:pt>
                <c:pt idx="18">
                  <c:v>11.336884506320841</c:v>
                </c:pt>
                <c:pt idx="19">
                  <c:v>19.135902893309968</c:v>
                </c:pt>
                <c:pt idx="20">
                  <c:v>10.434688130897873</c:v>
                </c:pt>
                <c:pt idx="21">
                  <c:v>0.63315631996128263</c:v>
                </c:pt>
                <c:pt idx="22">
                  <c:v>0</c:v>
                </c:pt>
                <c:pt idx="23">
                  <c:v>0</c:v>
                </c:pt>
              </c:numCache>
            </c:numRef>
          </c:yVal>
          <c:smooth val="0"/>
        </c:ser>
        <c:ser>
          <c:idx val="1"/>
          <c:order val="1"/>
          <c:tx>
            <c:strRef>
              <c:f>Extracting!$O$2:$O$5</c:f>
              <c:strCache>
                <c:ptCount val="4"/>
                <c:pt idx="0">
                  <c:v>Min pressure L.H. track (kN/m^2)</c:v>
                </c:pt>
              </c:strCache>
            </c:strRef>
          </c:tx>
          <c:spPr>
            <a:ln w="19050" cap="rnd">
              <a:solidFill>
                <a:schemeClr val="accent2"/>
              </a:solidFill>
              <a:round/>
            </a:ln>
            <a:effectLst/>
          </c:spPr>
          <c:marker>
            <c:symbol val="none"/>
          </c:marker>
          <c:xVal>
            <c:numRef>
              <c:f>Extracting!$L$6:$L$29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Extracting!$O$6:$O$29</c:f>
              <c:numCache>
                <c:formatCode>0</c:formatCode>
                <c:ptCount val="24"/>
                <c:pt idx="0">
                  <c:v>0</c:v>
                </c:pt>
                <c:pt idx="1">
                  <c:v>0</c:v>
                </c:pt>
                <c:pt idx="2">
                  <c:v>0</c:v>
                </c:pt>
                <c:pt idx="3">
                  <c:v>0</c:v>
                </c:pt>
                <c:pt idx="4">
                  <c:v>0</c:v>
                </c:pt>
                <c:pt idx="5">
                  <c:v>1.8346924372068794</c:v>
                </c:pt>
                <c:pt idx="6">
                  <c:v>11.336884506320844</c:v>
                </c:pt>
                <c:pt idx="7">
                  <c:v>19.135902893309943</c:v>
                </c:pt>
                <c:pt idx="8">
                  <c:v>10.434688130897873</c:v>
                </c:pt>
                <c:pt idx="9">
                  <c:v>0.63315631996127653</c:v>
                </c:pt>
                <c:pt idx="10">
                  <c:v>0</c:v>
                </c:pt>
                <c:pt idx="11">
                  <c:v>0</c:v>
                </c:pt>
                <c:pt idx="12">
                  <c:v>0</c:v>
                </c:pt>
                <c:pt idx="13">
                  <c:v>0</c:v>
                </c:pt>
                <c:pt idx="14">
                  <c:v>0</c:v>
                </c:pt>
                <c:pt idx="15">
                  <c:v>0</c:v>
                </c:pt>
                <c:pt idx="16">
                  <c:v>0</c:v>
                </c:pt>
                <c:pt idx="17">
                  <c:v>8.4041842427088582</c:v>
                </c:pt>
                <c:pt idx="18">
                  <c:v>67.552596555114349</c:v>
                </c:pt>
                <c:pt idx="19">
                  <c:v>125.28183196825293</c:v>
                </c:pt>
                <c:pt idx="20">
                  <c:v>60.866800143226207</c:v>
                </c:pt>
                <c:pt idx="21">
                  <c:v>2.8025121438632135</c:v>
                </c:pt>
                <c:pt idx="22">
                  <c:v>0</c:v>
                </c:pt>
                <c:pt idx="23">
                  <c:v>0</c:v>
                </c:pt>
              </c:numCache>
            </c:numRef>
          </c:yVal>
          <c:smooth val="0"/>
        </c:ser>
        <c:dLbls>
          <c:showLegendKey val="0"/>
          <c:showVal val="0"/>
          <c:showCatName val="0"/>
          <c:showSerName val="0"/>
          <c:showPercent val="0"/>
          <c:showBubbleSize val="0"/>
        </c:dLbls>
        <c:axId val="451222280"/>
        <c:axId val="451223064"/>
      </c:scatterChart>
      <c:valAx>
        <c:axId val="451222280"/>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223064"/>
        <c:crosses val="autoZero"/>
        <c:crossBetween val="midCat"/>
        <c:majorUnit val="45"/>
        <c:minorUnit val="15"/>
      </c:valAx>
      <c:valAx>
        <c:axId val="451223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2222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Position of Non-Slewing Actions</c:v>
          </c:tx>
          <c:spPr>
            <a:ln w="25400" cap="rnd">
              <a:noFill/>
              <a:round/>
            </a:ln>
            <a:effectLst/>
          </c:spPr>
          <c:marker>
            <c:symbol val="square"/>
            <c:size val="8"/>
            <c:spPr>
              <a:solidFill>
                <a:srgbClr val="FF0000"/>
              </a:solidFill>
              <a:ln w="9525">
                <a:solidFill>
                  <a:srgbClr val="FF0000"/>
                </a:solidFill>
              </a:ln>
              <a:effectLst/>
            </c:spPr>
          </c:marker>
          <c:xVal>
            <c:numRef>
              <c:f>Other!$AP$6:$AP$30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xVal>
          <c:yVal>
            <c:numRef>
              <c:f>Other!$AQ$6:$AQ$30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0"/>
        </c:ser>
        <c:ser>
          <c:idx val="1"/>
          <c:order val="1"/>
          <c:tx>
            <c:v>Resultant of Slewing Actions</c:v>
          </c:tx>
          <c:spPr>
            <a:ln w="25400" cap="rnd">
              <a:noFill/>
              <a:round/>
            </a:ln>
            <a:effectLst/>
          </c:spPr>
          <c:marker>
            <c:symbol val="circle"/>
            <c:size val="5"/>
            <c:spPr>
              <a:noFill/>
              <a:ln w="9525">
                <a:solidFill>
                  <a:schemeClr val="accent2"/>
                </a:solidFill>
              </a:ln>
              <a:effectLst/>
            </c:spPr>
          </c:marker>
          <c:xVal>
            <c:numRef>
              <c:f>Other!$BA$6:$BA$30</c:f>
              <c:numCache>
                <c:formatCode>0.00</c:formatCode>
                <c:ptCount val="25"/>
                <c:pt idx="0">
                  <c:v>-7.5571177504393683E-2</c:v>
                </c:pt>
                <c:pt idx="1">
                  <c:v>9.3891404771907966E-2</c:v>
                </c:pt>
                <c:pt idx="2">
                  <c:v>0.25695544297588685</c:v>
                </c:pt>
                <c:pt idx="3">
                  <c:v>0.40250839238000624</c:v>
                </c:pt>
                <c:pt idx="4">
                  <c:v>0.52063106001999715</c:v>
                </c:pt>
                <c:pt idx="5">
                  <c:v>0.60327358130313224</c:v>
                </c:pt>
                <c:pt idx="6">
                  <c:v>0.64480400497718982</c:v>
                </c:pt>
                <c:pt idx="7">
                  <c:v>0.64239210130105284</c:v>
                </c:pt>
                <c:pt idx="8">
                  <c:v>0.59620223752439083</c:v>
                </c:pt>
                <c:pt idx="9">
                  <c:v>0.50938217653122431</c:v>
                </c:pt>
                <c:pt idx="10">
                  <c:v>0.38784856200130319</c:v>
                </c:pt>
                <c:pt idx="11">
                  <c:v>0.2398837089210468</c:v>
                </c:pt>
                <c:pt idx="12">
                  <c:v>7.5571177504393794E-2</c:v>
                </c:pt>
                <c:pt idx="13">
                  <c:v>-9.3891404771907966E-2</c:v>
                </c:pt>
                <c:pt idx="14">
                  <c:v>-0.25695544297588663</c:v>
                </c:pt>
                <c:pt idx="15">
                  <c:v>-0.40250839238000607</c:v>
                </c:pt>
                <c:pt idx="16">
                  <c:v>-0.52063106001999715</c:v>
                </c:pt>
                <c:pt idx="17">
                  <c:v>-0.60327358130313213</c:v>
                </c:pt>
                <c:pt idx="18">
                  <c:v>-0.6448040049771897</c:v>
                </c:pt>
                <c:pt idx="19">
                  <c:v>-0.64239210130105284</c:v>
                </c:pt>
                <c:pt idx="20">
                  <c:v>-0.59620223752439094</c:v>
                </c:pt>
                <c:pt idx="21">
                  <c:v>-0.50938217653122453</c:v>
                </c:pt>
                <c:pt idx="22">
                  <c:v>-0.38784856200130297</c:v>
                </c:pt>
                <c:pt idx="23">
                  <c:v>-0.23988370892104688</c:v>
                </c:pt>
                <c:pt idx="24">
                  <c:v>-7.5571177504394169E-2</c:v>
                </c:pt>
              </c:numCache>
            </c:numRef>
          </c:xVal>
          <c:yVal>
            <c:numRef>
              <c:f>Other!$BB$6:$BB$30</c:f>
              <c:numCache>
                <c:formatCode>0.00</c:formatCode>
                <c:ptCount val="25"/>
                <c:pt idx="0">
                  <c:v>0.64480400497718982</c:v>
                </c:pt>
                <c:pt idx="1">
                  <c:v>0.64239210130105284</c:v>
                </c:pt>
                <c:pt idx="2">
                  <c:v>0.59620223752439083</c:v>
                </c:pt>
                <c:pt idx="3">
                  <c:v>0.50938217653122431</c:v>
                </c:pt>
                <c:pt idx="4">
                  <c:v>0.38784856200130291</c:v>
                </c:pt>
                <c:pt idx="5">
                  <c:v>0.23988370892104666</c:v>
                </c:pt>
                <c:pt idx="6">
                  <c:v>7.5571177504393613E-2</c:v>
                </c:pt>
                <c:pt idx="7">
                  <c:v>-9.3891404771908007E-2</c:v>
                </c:pt>
                <c:pt idx="8">
                  <c:v>-0.25695544297588685</c:v>
                </c:pt>
                <c:pt idx="9">
                  <c:v>-0.40250839238000607</c:v>
                </c:pt>
                <c:pt idx="10">
                  <c:v>-0.52063106001999693</c:v>
                </c:pt>
                <c:pt idx="11">
                  <c:v>-0.60327358130313224</c:v>
                </c:pt>
                <c:pt idx="12">
                  <c:v>-0.64480400497718982</c:v>
                </c:pt>
                <c:pt idx="13">
                  <c:v>-0.64239210130105284</c:v>
                </c:pt>
                <c:pt idx="14">
                  <c:v>-0.59620223752439094</c:v>
                </c:pt>
                <c:pt idx="15">
                  <c:v>-0.50938217653122431</c:v>
                </c:pt>
                <c:pt idx="16">
                  <c:v>-0.38784856200130297</c:v>
                </c:pt>
                <c:pt idx="17">
                  <c:v>-0.23988370892104682</c:v>
                </c:pt>
                <c:pt idx="18">
                  <c:v>-7.5571177504394113E-2</c:v>
                </c:pt>
                <c:pt idx="19">
                  <c:v>9.3891404771907938E-2</c:v>
                </c:pt>
                <c:pt idx="20">
                  <c:v>0.25695544297588663</c:v>
                </c:pt>
                <c:pt idx="21">
                  <c:v>0.4025083923800058</c:v>
                </c:pt>
                <c:pt idx="22">
                  <c:v>0.52063106001999715</c:v>
                </c:pt>
                <c:pt idx="23">
                  <c:v>0.60327358130313213</c:v>
                </c:pt>
                <c:pt idx="24">
                  <c:v>0.6448040049771897</c:v>
                </c:pt>
              </c:numCache>
            </c:numRef>
          </c:yVal>
          <c:smooth val="0"/>
        </c:ser>
        <c:ser>
          <c:idx val="2"/>
          <c:order val="2"/>
          <c:tx>
            <c:strRef>
              <c:f>Other!$AO$34</c:f>
              <c:strCache>
                <c:ptCount val="1"/>
                <c:pt idx="0">
                  <c:v>LHS</c:v>
                </c:pt>
              </c:strCache>
            </c:strRef>
          </c:tx>
          <c:spPr>
            <a:ln w="25400" cap="rnd">
              <a:solidFill>
                <a:schemeClr val="accent1"/>
              </a:solidFill>
              <a:round/>
            </a:ln>
            <a:effectLst/>
          </c:spPr>
          <c:marker>
            <c:symbol val="none"/>
          </c:marker>
          <c:xVal>
            <c:numRef>
              <c:f>Other!$AO$36:$AO$40</c:f>
              <c:numCache>
                <c:formatCode>0.000</c:formatCode>
                <c:ptCount val="5"/>
                <c:pt idx="0">
                  <c:v>-2</c:v>
                </c:pt>
                <c:pt idx="1">
                  <c:v>-1.2999999999999998</c:v>
                </c:pt>
                <c:pt idx="2">
                  <c:v>-1.2999999999999998</c:v>
                </c:pt>
                <c:pt idx="3">
                  <c:v>-2</c:v>
                </c:pt>
                <c:pt idx="4">
                  <c:v>-2</c:v>
                </c:pt>
              </c:numCache>
            </c:numRef>
          </c:xVal>
          <c:yVal>
            <c:numRef>
              <c:f>Other!$AP$36:$AP$40</c:f>
              <c:numCache>
                <c:formatCode>0.000</c:formatCode>
                <c:ptCount val="5"/>
                <c:pt idx="0">
                  <c:v>1.907</c:v>
                </c:pt>
                <c:pt idx="1">
                  <c:v>1.907</c:v>
                </c:pt>
                <c:pt idx="2">
                  <c:v>-1.907</c:v>
                </c:pt>
                <c:pt idx="3">
                  <c:v>-1.907</c:v>
                </c:pt>
                <c:pt idx="4">
                  <c:v>1.907</c:v>
                </c:pt>
              </c:numCache>
            </c:numRef>
          </c:yVal>
          <c:smooth val="0"/>
        </c:ser>
        <c:ser>
          <c:idx val="3"/>
          <c:order val="3"/>
          <c:tx>
            <c:strRef>
              <c:f>Other!$AR$34</c:f>
              <c:strCache>
                <c:ptCount val="1"/>
                <c:pt idx="0">
                  <c:v>RHS</c:v>
                </c:pt>
              </c:strCache>
            </c:strRef>
          </c:tx>
          <c:spPr>
            <a:ln w="25400" cap="rnd">
              <a:solidFill>
                <a:schemeClr val="accent1"/>
              </a:solidFill>
              <a:round/>
            </a:ln>
            <a:effectLst/>
          </c:spPr>
          <c:marker>
            <c:symbol val="none"/>
          </c:marker>
          <c:xVal>
            <c:numRef>
              <c:f>Other!$AR$36:$AR$40</c:f>
              <c:numCache>
                <c:formatCode>0.000</c:formatCode>
                <c:ptCount val="5"/>
                <c:pt idx="0">
                  <c:v>2</c:v>
                </c:pt>
                <c:pt idx="1">
                  <c:v>1.2999999999999998</c:v>
                </c:pt>
                <c:pt idx="2">
                  <c:v>1.2999999999999998</c:v>
                </c:pt>
                <c:pt idx="3">
                  <c:v>2</c:v>
                </c:pt>
                <c:pt idx="4">
                  <c:v>2</c:v>
                </c:pt>
              </c:numCache>
            </c:numRef>
          </c:xVal>
          <c:yVal>
            <c:numRef>
              <c:f>Other!$AS$36:$AS$40</c:f>
              <c:numCache>
                <c:formatCode>0.000</c:formatCode>
                <c:ptCount val="5"/>
                <c:pt idx="0">
                  <c:v>1.907</c:v>
                </c:pt>
                <c:pt idx="1">
                  <c:v>1.907</c:v>
                </c:pt>
                <c:pt idx="2">
                  <c:v>-1.907</c:v>
                </c:pt>
                <c:pt idx="3">
                  <c:v>-1.907</c:v>
                </c:pt>
                <c:pt idx="4">
                  <c:v>1.907</c:v>
                </c:pt>
              </c:numCache>
            </c:numRef>
          </c:yVal>
          <c:smooth val="0"/>
        </c:ser>
        <c:ser>
          <c:idx val="4"/>
          <c:order val="4"/>
          <c:tx>
            <c:v>Net Resultant of All Actions</c:v>
          </c:tx>
          <c:spPr>
            <a:ln w="25400" cap="rnd">
              <a:noFill/>
              <a:round/>
            </a:ln>
            <a:effectLst/>
          </c:spPr>
          <c:marker>
            <c:symbol val="circle"/>
            <c:size val="5"/>
            <c:spPr>
              <a:solidFill>
                <a:schemeClr val="accent5"/>
              </a:solidFill>
              <a:ln w="9525">
                <a:solidFill>
                  <a:schemeClr val="accent5"/>
                </a:solidFill>
              </a:ln>
              <a:effectLst/>
            </c:spPr>
          </c:marker>
          <c:xVal>
            <c:numRef>
              <c:f>Other!$BH$6:$BH$30</c:f>
              <c:numCache>
                <c:formatCode>0.00</c:formatCode>
                <c:ptCount val="25"/>
                <c:pt idx="0">
                  <c:v>-5.5916775032509761E-2</c:v>
                </c:pt>
                <c:pt idx="1">
                  <c:v>6.9472313803921507E-2</c:v>
                </c:pt>
                <c:pt idx="2">
                  <c:v>0.19012697926304242</c:v>
                </c:pt>
                <c:pt idx="3">
                  <c:v>0.29782480528507616</c:v>
                </c:pt>
                <c:pt idx="4">
                  <c:v>0.38522636300569363</c:v>
                </c:pt>
                <c:pt idx="5">
                  <c:v>0.44637538070413818</c:v>
                </c:pt>
                <c:pt idx="6">
                  <c:v>0.47710465387779066</c:v>
                </c:pt>
                <c:pt idx="7">
                  <c:v>0.47532003334239159</c:v>
                </c:pt>
                <c:pt idx="8">
                  <c:v>0.44114313803820338</c:v>
                </c:pt>
                <c:pt idx="9">
                  <c:v>0.37690306690021674</c:v>
                </c:pt>
                <c:pt idx="10">
                  <c:v>0.28697767461474843</c:v>
                </c:pt>
                <c:pt idx="11">
                  <c:v>0.17749522805731552</c:v>
                </c:pt>
                <c:pt idx="12">
                  <c:v>5.5916775032509844E-2</c:v>
                </c:pt>
                <c:pt idx="13">
                  <c:v>-6.9472313803921507E-2</c:v>
                </c:pt>
                <c:pt idx="14">
                  <c:v>-0.19012697926304226</c:v>
                </c:pt>
                <c:pt idx="15">
                  <c:v>-0.29782480528507604</c:v>
                </c:pt>
                <c:pt idx="16">
                  <c:v>-0.38522636300569363</c:v>
                </c:pt>
                <c:pt idx="17">
                  <c:v>-0.44637538070413812</c:v>
                </c:pt>
                <c:pt idx="18">
                  <c:v>-0.47710465387779061</c:v>
                </c:pt>
                <c:pt idx="19">
                  <c:v>-0.47532003334239159</c:v>
                </c:pt>
                <c:pt idx="20">
                  <c:v>-0.44114313803820343</c:v>
                </c:pt>
                <c:pt idx="21">
                  <c:v>-0.37690306690021691</c:v>
                </c:pt>
                <c:pt idx="22">
                  <c:v>-0.28697767461474827</c:v>
                </c:pt>
                <c:pt idx="23">
                  <c:v>-0.17749522805731557</c:v>
                </c:pt>
                <c:pt idx="24">
                  <c:v>-5.5916775032510128E-2</c:v>
                </c:pt>
              </c:numCache>
            </c:numRef>
          </c:xVal>
          <c:yVal>
            <c:numRef>
              <c:f>Other!$BI$6:$BI$30</c:f>
              <c:numCache>
                <c:formatCode>0.00</c:formatCode>
                <c:ptCount val="25"/>
                <c:pt idx="0">
                  <c:v>0.47710465387779066</c:v>
                </c:pt>
                <c:pt idx="1">
                  <c:v>0.47532003334239159</c:v>
                </c:pt>
                <c:pt idx="2">
                  <c:v>0.44114313803820338</c:v>
                </c:pt>
                <c:pt idx="3">
                  <c:v>0.37690306690021674</c:v>
                </c:pt>
                <c:pt idx="4">
                  <c:v>0.28697767461474821</c:v>
                </c:pt>
                <c:pt idx="5">
                  <c:v>0.17749522805731541</c:v>
                </c:pt>
                <c:pt idx="6">
                  <c:v>5.5916775032509712E-2</c:v>
                </c:pt>
                <c:pt idx="7">
                  <c:v>-6.9472313803921534E-2</c:v>
                </c:pt>
                <c:pt idx="8">
                  <c:v>-0.19012697926304242</c:v>
                </c:pt>
                <c:pt idx="9">
                  <c:v>-0.29782480528507604</c:v>
                </c:pt>
                <c:pt idx="10">
                  <c:v>-0.38522636300569346</c:v>
                </c:pt>
                <c:pt idx="11">
                  <c:v>-0.44637538070413818</c:v>
                </c:pt>
                <c:pt idx="12">
                  <c:v>-0.47710465387779066</c:v>
                </c:pt>
                <c:pt idx="13">
                  <c:v>-0.47532003334239159</c:v>
                </c:pt>
                <c:pt idx="14">
                  <c:v>-0.44114313803820343</c:v>
                </c:pt>
                <c:pt idx="15">
                  <c:v>-0.37690306690021674</c:v>
                </c:pt>
                <c:pt idx="16">
                  <c:v>-0.28697767461474827</c:v>
                </c:pt>
                <c:pt idx="17">
                  <c:v>-0.17749522805731552</c:v>
                </c:pt>
                <c:pt idx="18">
                  <c:v>-5.591677503251008E-2</c:v>
                </c:pt>
                <c:pt idx="19">
                  <c:v>6.9472313803921493E-2</c:v>
                </c:pt>
                <c:pt idx="20">
                  <c:v>0.19012697926304226</c:v>
                </c:pt>
                <c:pt idx="21">
                  <c:v>0.29782480528507582</c:v>
                </c:pt>
                <c:pt idx="22">
                  <c:v>0.38522636300569363</c:v>
                </c:pt>
                <c:pt idx="23">
                  <c:v>0.44637538070413812</c:v>
                </c:pt>
                <c:pt idx="24">
                  <c:v>0.47710465387779061</c:v>
                </c:pt>
              </c:numCache>
            </c:numRef>
          </c:yVal>
          <c:smooth val="0"/>
        </c:ser>
        <c:dLbls>
          <c:showLegendKey val="0"/>
          <c:showVal val="0"/>
          <c:showCatName val="0"/>
          <c:showSerName val="0"/>
          <c:showPercent val="0"/>
          <c:showBubbleSize val="0"/>
        </c:dLbls>
        <c:axId val="451220712"/>
        <c:axId val="451219928"/>
      </c:scatterChart>
      <c:valAx>
        <c:axId val="451220712"/>
        <c:scaling>
          <c:orientation val="minMax"/>
          <c:max val="5"/>
          <c:min val="-5"/>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219928"/>
        <c:crosses val="autoZero"/>
        <c:crossBetween val="midCat"/>
        <c:minorUnit val="0.5"/>
      </c:valAx>
      <c:valAx>
        <c:axId val="451219928"/>
        <c:scaling>
          <c:orientation val="minMax"/>
          <c:max val="5"/>
          <c:min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220712"/>
        <c:crosses val="autoZero"/>
        <c:crossBetween val="midCat"/>
        <c:minorUnit val="0.5"/>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Other!$BL$3</c:f>
              <c:strCache>
                <c:ptCount val="1"/>
                <c:pt idx="0">
                  <c:v>Vector Sum of Moments</c:v>
                </c:pt>
              </c:strCache>
            </c:strRef>
          </c:tx>
          <c:spPr>
            <a:ln w="19050" cap="rnd">
              <a:solidFill>
                <a:schemeClr val="accent1"/>
              </a:solidFill>
              <a:round/>
            </a:ln>
            <a:effectLst/>
          </c:spPr>
          <c:marker>
            <c:symbol val="none"/>
          </c:marker>
          <c:xVal>
            <c:numRef>
              <c:f>Other!$AM$6:$AM$30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Other!$BL$6:$BL$30</c:f>
              <c:numCache>
                <c:formatCode>#,##0</c:formatCode>
                <c:ptCount val="25"/>
                <c:pt idx="0">
                  <c:v>181.19300032248714</c:v>
                </c:pt>
                <c:pt idx="1">
                  <c:v>181.19300032248714</c:v>
                </c:pt>
                <c:pt idx="2">
                  <c:v>181.19300032248711</c:v>
                </c:pt>
                <c:pt idx="3">
                  <c:v>181.19300032248714</c:v>
                </c:pt>
                <c:pt idx="4">
                  <c:v>181.19300032248711</c:v>
                </c:pt>
                <c:pt idx="5">
                  <c:v>181.19300032248711</c:v>
                </c:pt>
                <c:pt idx="6">
                  <c:v>181.19300032248711</c:v>
                </c:pt>
                <c:pt idx="7">
                  <c:v>181.19300032248714</c:v>
                </c:pt>
                <c:pt idx="8">
                  <c:v>181.19300032248711</c:v>
                </c:pt>
                <c:pt idx="9">
                  <c:v>181.19300032248711</c:v>
                </c:pt>
                <c:pt idx="10">
                  <c:v>181.19300032248711</c:v>
                </c:pt>
                <c:pt idx="11">
                  <c:v>181.19300032248714</c:v>
                </c:pt>
                <c:pt idx="12">
                  <c:v>181.19300032248714</c:v>
                </c:pt>
                <c:pt idx="13">
                  <c:v>181.19300032248714</c:v>
                </c:pt>
                <c:pt idx="14">
                  <c:v>181.19300032248711</c:v>
                </c:pt>
                <c:pt idx="15">
                  <c:v>181.19300032248711</c:v>
                </c:pt>
                <c:pt idx="16">
                  <c:v>181.19300032248711</c:v>
                </c:pt>
                <c:pt idx="17">
                  <c:v>181.19300032248708</c:v>
                </c:pt>
                <c:pt idx="18">
                  <c:v>181.19300032248711</c:v>
                </c:pt>
                <c:pt idx="19">
                  <c:v>181.19300032248714</c:v>
                </c:pt>
                <c:pt idx="20">
                  <c:v>181.19300032248711</c:v>
                </c:pt>
                <c:pt idx="21">
                  <c:v>181.19300032248711</c:v>
                </c:pt>
                <c:pt idx="22">
                  <c:v>181.19300032248711</c:v>
                </c:pt>
                <c:pt idx="23">
                  <c:v>181.19300032248711</c:v>
                </c:pt>
                <c:pt idx="24">
                  <c:v>181.19300032248711</c:v>
                </c:pt>
              </c:numCache>
            </c:numRef>
          </c:yVal>
          <c:smooth val="0"/>
        </c:ser>
        <c:ser>
          <c:idx val="1"/>
          <c:order val="1"/>
          <c:tx>
            <c:v>Fore-aft avge track pressure</c:v>
          </c:tx>
          <c:spPr>
            <a:ln w="19050" cap="rnd">
              <a:solidFill>
                <a:schemeClr val="accent2"/>
              </a:solidFill>
              <a:round/>
            </a:ln>
            <a:effectLst/>
          </c:spPr>
          <c:marker>
            <c:symbol val="none"/>
          </c:marker>
          <c:xVal>
            <c:numRef>
              <c:f>Standing!$AM$6:$AM$29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Standing!$M$6:$M$29</c:f>
            </c:numRef>
          </c:yVal>
          <c:smooth val="0"/>
        </c:ser>
        <c:ser>
          <c:idx val="2"/>
          <c:order val="2"/>
          <c:tx>
            <c:v>Max Track Pressure</c:v>
          </c:tx>
          <c:spPr>
            <a:ln w="19050" cap="rnd">
              <a:solidFill>
                <a:schemeClr val="accent3"/>
              </a:solidFill>
              <a:round/>
            </a:ln>
            <a:effectLst/>
          </c:spPr>
          <c:marker>
            <c:symbol val="none"/>
          </c:marker>
          <c:yVal>
            <c:numLit>
              <c:formatCode>General</c:formatCode>
              <c:ptCount val="1"/>
              <c:pt idx="0">
                <c:v>1</c:v>
              </c:pt>
            </c:numLit>
          </c:yVal>
          <c:smooth val="0"/>
        </c:ser>
        <c:dLbls>
          <c:showLegendKey val="0"/>
          <c:showVal val="0"/>
          <c:showCatName val="0"/>
          <c:showSerName val="0"/>
          <c:showPercent val="0"/>
          <c:showBubbleSize val="0"/>
        </c:dLbls>
        <c:axId val="449169872"/>
        <c:axId val="449166344"/>
      </c:scatterChart>
      <c:valAx>
        <c:axId val="449169872"/>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166344"/>
        <c:crosses val="autoZero"/>
        <c:crossBetween val="midCat"/>
        <c:majorUnit val="45"/>
        <c:minorUnit val="15"/>
      </c:valAx>
      <c:valAx>
        <c:axId val="449166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Vector sum of moments (kNm)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1698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Other!$AA$2:$AA$4</c:f>
              <c:strCache>
                <c:ptCount val="3"/>
                <c:pt idx="0">
                  <c:v>Force on track</c:v>
                </c:pt>
                <c:pt idx="2">
                  <c:v>PL</c:v>
                </c:pt>
              </c:strCache>
            </c:strRef>
          </c:tx>
          <c:spPr>
            <a:ln w="19050" cap="rnd">
              <a:solidFill>
                <a:schemeClr val="accent1"/>
              </a:solidFill>
              <a:round/>
            </a:ln>
            <a:effectLst/>
          </c:spPr>
          <c:marker>
            <c:symbol val="none"/>
          </c:marker>
          <c:xVal>
            <c:numRef>
              <c:f>Other!$AM$6:$AM$30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Other!$AA$6:$AA$30</c:f>
              <c:numCache>
                <c:formatCode>0</c:formatCode>
                <c:ptCount val="25"/>
                <c:pt idx="0" formatCode="0.0">
                  <c:v>194.98861363636362</c:v>
                </c:pt>
                <c:pt idx="1">
                  <c:v>180.65646979723837</c:v>
                </c:pt>
                <c:pt idx="2">
                  <c:v>166.8654770061716</c:v>
                </c:pt>
                <c:pt idx="3">
                  <c:v>154.5554686311813</c:v>
                </c:pt>
                <c:pt idx="4">
                  <c:v>144.56535139977237</c:v>
                </c:pt>
                <c:pt idx="5">
                  <c:v>137.57593529181602</c:v>
                </c:pt>
                <c:pt idx="6">
                  <c:v>134.06353746451319</c:v>
                </c:pt>
                <c:pt idx="7">
                  <c:v>134.2675220252828</c:v>
                </c:pt>
                <c:pt idx="8">
                  <c:v>138.17398776340872</c:v>
                </c:pt>
                <c:pt idx="9">
                  <c:v>145.51671549457762</c:v>
                </c:pt>
                <c:pt idx="10">
                  <c:v>155.79531045834156</c:v>
                </c:pt>
                <c:pt idx="11">
                  <c:v>168.30930339410148</c:v>
                </c:pt>
                <c:pt idx="12">
                  <c:v>182.20588636363632</c:v>
                </c:pt>
                <c:pt idx="13">
                  <c:v>196.53803020276158</c:v>
                </c:pt>
                <c:pt idx="14">
                  <c:v>210.32902299382835</c:v>
                </c:pt>
                <c:pt idx="15">
                  <c:v>222.63903136881865</c:v>
                </c:pt>
                <c:pt idx="16">
                  <c:v>232.62914860022758</c:v>
                </c:pt>
                <c:pt idx="17">
                  <c:v>239.61856470818392</c:v>
                </c:pt>
                <c:pt idx="18">
                  <c:v>243.13096253548673</c:v>
                </c:pt>
                <c:pt idx="19">
                  <c:v>242.92697797471712</c:v>
                </c:pt>
                <c:pt idx="20">
                  <c:v>239.02051223659123</c:v>
                </c:pt>
                <c:pt idx="21">
                  <c:v>231.67778450542235</c:v>
                </c:pt>
                <c:pt idx="22">
                  <c:v>221.39918954165836</c:v>
                </c:pt>
                <c:pt idx="23">
                  <c:v>208.8851966058985</c:v>
                </c:pt>
                <c:pt idx="24">
                  <c:v>194.98861363636362</c:v>
                </c:pt>
              </c:numCache>
            </c:numRef>
          </c:yVal>
          <c:smooth val="0"/>
        </c:ser>
        <c:ser>
          <c:idx val="1"/>
          <c:order val="1"/>
          <c:tx>
            <c:strRef>
              <c:f>Other!$AG$2:$AG$4</c:f>
              <c:strCache>
                <c:ptCount val="3"/>
                <c:pt idx="0">
                  <c:v>Force on track</c:v>
                </c:pt>
                <c:pt idx="2">
                  <c:v>PR</c:v>
                </c:pt>
              </c:strCache>
            </c:strRef>
          </c:tx>
          <c:spPr>
            <a:ln w="19050" cap="rnd">
              <a:solidFill>
                <a:schemeClr val="accent2"/>
              </a:solidFill>
              <a:round/>
            </a:ln>
            <a:effectLst/>
          </c:spPr>
          <c:marker>
            <c:symbol val="none"/>
          </c:marker>
          <c:xVal>
            <c:numRef>
              <c:f>Other!$AM$6:$AM$30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Other!$AG$6:$AG$30</c:f>
              <c:numCache>
                <c:formatCode>0</c:formatCode>
                <c:ptCount val="25"/>
                <c:pt idx="0">
                  <c:v>182.20588636363632</c:v>
                </c:pt>
                <c:pt idx="1">
                  <c:v>196.53803020276158</c:v>
                </c:pt>
                <c:pt idx="2">
                  <c:v>210.32902299382835</c:v>
                </c:pt>
                <c:pt idx="3">
                  <c:v>222.63903136881865</c:v>
                </c:pt>
                <c:pt idx="4">
                  <c:v>232.62914860022758</c:v>
                </c:pt>
                <c:pt idx="5">
                  <c:v>239.61856470818392</c:v>
                </c:pt>
                <c:pt idx="6">
                  <c:v>243.13096253548676</c:v>
                </c:pt>
                <c:pt idx="7">
                  <c:v>242.92697797471715</c:v>
                </c:pt>
                <c:pt idx="8">
                  <c:v>239.02051223659123</c:v>
                </c:pt>
                <c:pt idx="9">
                  <c:v>231.67778450542232</c:v>
                </c:pt>
                <c:pt idx="10">
                  <c:v>221.39918954165839</c:v>
                </c:pt>
                <c:pt idx="11">
                  <c:v>208.88519660589847</c:v>
                </c:pt>
                <c:pt idx="12">
                  <c:v>194.98861363636362</c:v>
                </c:pt>
                <c:pt idx="13">
                  <c:v>180.65646979723837</c:v>
                </c:pt>
                <c:pt idx="14">
                  <c:v>166.8654770061716</c:v>
                </c:pt>
                <c:pt idx="15">
                  <c:v>154.5554686311813</c:v>
                </c:pt>
                <c:pt idx="16">
                  <c:v>144.56535139977237</c:v>
                </c:pt>
                <c:pt idx="17">
                  <c:v>137.57593529181602</c:v>
                </c:pt>
                <c:pt idx="18">
                  <c:v>134.06353746451322</c:v>
                </c:pt>
                <c:pt idx="19">
                  <c:v>134.26752202528283</c:v>
                </c:pt>
                <c:pt idx="20">
                  <c:v>138.17398776340872</c:v>
                </c:pt>
                <c:pt idx="21">
                  <c:v>145.5167154945776</c:v>
                </c:pt>
                <c:pt idx="22">
                  <c:v>155.79531045834159</c:v>
                </c:pt>
                <c:pt idx="23">
                  <c:v>168.30930339410145</c:v>
                </c:pt>
                <c:pt idx="24">
                  <c:v>182.20588636363632</c:v>
                </c:pt>
              </c:numCache>
            </c:numRef>
          </c:yVal>
          <c:smooth val="0"/>
        </c:ser>
        <c:dLbls>
          <c:showLegendKey val="0"/>
          <c:showVal val="0"/>
          <c:showCatName val="0"/>
          <c:showSerName val="0"/>
          <c:showPercent val="0"/>
          <c:showBubbleSize val="0"/>
        </c:dLbls>
        <c:axId val="357387496"/>
        <c:axId val="449097912"/>
      </c:scatterChart>
      <c:valAx>
        <c:axId val="357387496"/>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097912"/>
        <c:crosses val="autoZero"/>
        <c:crossBetween val="midCat"/>
        <c:majorUnit val="45"/>
        <c:minorUnit val="15"/>
      </c:valAx>
      <c:valAx>
        <c:axId val="449097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Force on TRack (kN)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3874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Other!$P$2:$P$5</c:f>
              <c:strCache>
                <c:ptCount val="4"/>
                <c:pt idx="0">
                  <c:v>Max bearing pressure R.H. track (kN/m^2)</c:v>
                </c:pt>
              </c:strCache>
            </c:strRef>
          </c:tx>
          <c:spPr>
            <a:ln w="19050" cap="rnd">
              <a:solidFill>
                <a:schemeClr val="accent1"/>
              </a:solidFill>
              <a:round/>
            </a:ln>
            <a:effectLst/>
          </c:spPr>
          <c:marker>
            <c:symbol val="none"/>
          </c:marker>
          <c:xVal>
            <c:numRef>
              <c:f>Other!$L$6:$L$29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Other!$P$6:$P$29</c:f>
              <c:numCache>
                <c:formatCode>0</c:formatCode>
                <c:ptCount val="24"/>
                <c:pt idx="0">
                  <c:v>119.47035666616455</c:v>
                </c:pt>
                <c:pt idx="1">
                  <c:v>128.66110940588834</c:v>
                </c:pt>
                <c:pt idx="2">
                  <c:v>133.45352165870506</c:v>
                </c:pt>
                <c:pt idx="3">
                  <c:v>132.83670018040965</c:v>
                </c:pt>
                <c:pt idx="4">
                  <c:v>126.47080609479065</c:v>
                </c:pt>
                <c:pt idx="5">
                  <c:v>114.81253724581609</c:v>
                </c:pt>
                <c:pt idx="6">
                  <c:v>99.077876277579463</c:v>
                </c:pt>
                <c:pt idx="7">
                  <c:v>100.93512004628423</c:v>
                </c:pt>
                <c:pt idx="8">
                  <c:v>116.3050420388039</c:v>
                </c:pt>
                <c:pt idx="9">
                  <c:v>127.43437084710523</c:v>
                </c:pt>
                <c:pt idx="10">
                  <c:v>133.18278686437631</c:v>
                </c:pt>
                <c:pt idx="11">
                  <c:v>133.18141772091727</c:v>
                </c:pt>
                <c:pt idx="12">
                  <c:v>127.85184760982825</c:v>
                </c:pt>
                <c:pt idx="13">
                  <c:v>118.26444887783073</c:v>
                </c:pt>
                <c:pt idx="14">
                  <c:v>105.87595203343243</c:v>
                </c:pt>
                <c:pt idx="15">
                  <c:v>92.214910932631383</c:v>
                </c:pt>
                <c:pt idx="16">
                  <c:v>78.59417719112092</c:v>
                </c:pt>
                <c:pt idx="17">
                  <c:v>65.919108621887744</c:v>
                </c:pt>
                <c:pt idx="18">
                  <c:v>54.631999313147851</c:v>
                </c:pt>
                <c:pt idx="19">
                  <c:v>55.787580971552281</c:v>
                </c:pt>
                <c:pt idx="20">
                  <c:v>67.234110182081054</c:v>
                </c:pt>
                <c:pt idx="21">
                  <c:v>80.041472799713716</c:v>
                </c:pt>
                <c:pt idx="22">
                  <c:v>93.718742467837643</c:v>
                </c:pt>
                <c:pt idx="23">
                  <c:v>107.31096317915643</c:v>
                </c:pt>
              </c:numCache>
            </c:numRef>
          </c:yVal>
          <c:smooth val="0"/>
        </c:ser>
        <c:ser>
          <c:idx val="1"/>
          <c:order val="1"/>
          <c:tx>
            <c:strRef>
              <c:f>Other!$N$2:$N$5</c:f>
              <c:strCache>
                <c:ptCount val="4"/>
                <c:pt idx="0">
                  <c:v>Max bearing pressure L.H. track (kN/m^2)</c:v>
                </c:pt>
              </c:strCache>
            </c:strRef>
          </c:tx>
          <c:spPr>
            <a:ln w="19050" cap="rnd">
              <a:solidFill>
                <a:schemeClr val="accent2"/>
              </a:solidFill>
              <a:round/>
            </a:ln>
            <a:effectLst/>
          </c:spPr>
          <c:marker>
            <c:symbol val="none"/>
          </c:marker>
          <c:xVal>
            <c:numRef>
              <c:f>Other!$L$6:$L$29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Other!$N$6:$N$29</c:f>
              <c:numCache>
                <c:formatCode>0</c:formatCode>
                <c:ptCount val="24"/>
                <c:pt idx="0">
                  <c:v>127.85184760982825</c:v>
                </c:pt>
                <c:pt idx="1">
                  <c:v>118.26444887783073</c:v>
                </c:pt>
                <c:pt idx="2">
                  <c:v>105.8759520334324</c:v>
                </c:pt>
                <c:pt idx="3">
                  <c:v>92.214910932631383</c:v>
                </c:pt>
                <c:pt idx="4">
                  <c:v>78.594177191120906</c:v>
                </c:pt>
                <c:pt idx="5">
                  <c:v>65.919108621887744</c:v>
                </c:pt>
                <c:pt idx="6">
                  <c:v>54.631999313147816</c:v>
                </c:pt>
                <c:pt idx="7">
                  <c:v>55.787580971552281</c:v>
                </c:pt>
                <c:pt idx="8">
                  <c:v>67.234110182081068</c:v>
                </c:pt>
                <c:pt idx="9">
                  <c:v>80.041472799713745</c:v>
                </c:pt>
                <c:pt idx="10">
                  <c:v>93.7187424678376</c:v>
                </c:pt>
                <c:pt idx="11">
                  <c:v>107.31096317915645</c:v>
                </c:pt>
                <c:pt idx="12">
                  <c:v>119.47035666616455</c:v>
                </c:pt>
                <c:pt idx="13">
                  <c:v>128.66110940588834</c:v>
                </c:pt>
                <c:pt idx="14">
                  <c:v>133.45352165870503</c:v>
                </c:pt>
                <c:pt idx="15">
                  <c:v>132.83670018040962</c:v>
                </c:pt>
                <c:pt idx="16">
                  <c:v>126.47080609479067</c:v>
                </c:pt>
                <c:pt idx="17">
                  <c:v>114.8125372458161</c:v>
                </c:pt>
                <c:pt idx="18">
                  <c:v>99.07787627757952</c:v>
                </c:pt>
                <c:pt idx="19">
                  <c:v>100.93512004628423</c:v>
                </c:pt>
                <c:pt idx="20">
                  <c:v>116.30504203880389</c:v>
                </c:pt>
                <c:pt idx="21">
                  <c:v>127.43437084710519</c:v>
                </c:pt>
                <c:pt idx="22">
                  <c:v>133.18278686437634</c:v>
                </c:pt>
                <c:pt idx="23">
                  <c:v>133.18141772091727</c:v>
                </c:pt>
              </c:numCache>
            </c:numRef>
          </c:yVal>
          <c:smooth val="0"/>
        </c:ser>
        <c:dLbls>
          <c:showLegendKey val="0"/>
          <c:showVal val="0"/>
          <c:showCatName val="0"/>
          <c:showSerName val="0"/>
          <c:showPercent val="0"/>
          <c:showBubbleSize val="0"/>
        </c:dLbls>
        <c:axId val="356823592"/>
        <c:axId val="356820064"/>
      </c:scatterChart>
      <c:valAx>
        <c:axId val="356823592"/>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6820064"/>
        <c:crosses val="autoZero"/>
        <c:crossBetween val="midCat"/>
        <c:majorUnit val="45"/>
        <c:minorUnit val="15"/>
      </c:valAx>
      <c:valAx>
        <c:axId val="35682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Max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68235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Standing!$AA$2:$AA$4</c:f>
              <c:strCache>
                <c:ptCount val="3"/>
                <c:pt idx="0">
                  <c:v>Force on track</c:v>
                </c:pt>
                <c:pt idx="2">
                  <c:v>PL</c:v>
                </c:pt>
              </c:strCache>
            </c:strRef>
          </c:tx>
          <c:spPr>
            <a:ln w="19050" cap="rnd">
              <a:solidFill>
                <a:schemeClr val="accent1"/>
              </a:solidFill>
              <a:round/>
            </a:ln>
            <a:effectLst/>
          </c:spPr>
          <c:marker>
            <c:symbol val="none"/>
          </c:marker>
          <c:xVal>
            <c:numRef>
              <c:f>Standing!$AM$6:$AM$30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Standing!$AA$6:$AA$30</c:f>
              <c:numCache>
                <c:formatCode>0</c:formatCode>
                <c:ptCount val="25"/>
                <c:pt idx="0" formatCode="0.0">
                  <c:v>194.98861363636362</c:v>
                </c:pt>
                <c:pt idx="1">
                  <c:v>180.65646979723837</c:v>
                </c:pt>
                <c:pt idx="2">
                  <c:v>166.8654770061716</c:v>
                </c:pt>
                <c:pt idx="3">
                  <c:v>154.5554686311813</c:v>
                </c:pt>
                <c:pt idx="4">
                  <c:v>144.56535139977237</c:v>
                </c:pt>
                <c:pt idx="5">
                  <c:v>137.57593529181602</c:v>
                </c:pt>
                <c:pt idx="6">
                  <c:v>134.06353746451319</c:v>
                </c:pt>
                <c:pt idx="7">
                  <c:v>134.2675220252828</c:v>
                </c:pt>
                <c:pt idx="8">
                  <c:v>138.17398776340872</c:v>
                </c:pt>
                <c:pt idx="9">
                  <c:v>145.51671549457762</c:v>
                </c:pt>
                <c:pt idx="10">
                  <c:v>155.79531045834156</c:v>
                </c:pt>
                <c:pt idx="11">
                  <c:v>168.30930339410148</c:v>
                </c:pt>
                <c:pt idx="12">
                  <c:v>182.20588636363632</c:v>
                </c:pt>
                <c:pt idx="13">
                  <c:v>196.53803020276158</c:v>
                </c:pt>
                <c:pt idx="14">
                  <c:v>210.32902299382835</c:v>
                </c:pt>
                <c:pt idx="15">
                  <c:v>222.63903136881865</c:v>
                </c:pt>
                <c:pt idx="16">
                  <c:v>232.62914860022758</c:v>
                </c:pt>
                <c:pt idx="17">
                  <c:v>239.61856470818392</c:v>
                </c:pt>
                <c:pt idx="18">
                  <c:v>243.13096253548673</c:v>
                </c:pt>
                <c:pt idx="19">
                  <c:v>242.92697797471712</c:v>
                </c:pt>
                <c:pt idx="20">
                  <c:v>239.02051223659123</c:v>
                </c:pt>
                <c:pt idx="21">
                  <c:v>231.67778450542235</c:v>
                </c:pt>
                <c:pt idx="22">
                  <c:v>221.39918954165836</c:v>
                </c:pt>
                <c:pt idx="23">
                  <c:v>208.8851966058985</c:v>
                </c:pt>
                <c:pt idx="24">
                  <c:v>194.98861363636362</c:v>
                </c:pt>
              </c:numCache>
            </c:numRef>
          </c:yVal>
          <c:smooth val="0"/>
        </c:ser>
        <c:ser>
          <c:idx val="1"/>
          <c:order val="1"/>
          <c:tx>
            <c:strRef>
              <c:f>Standing!$AG$2:$AG$4</c:f>
              <c:strCache>
                <c:ptCount val="3"/>
                <c:pt idx="0">
                  <c:v>Force on track</c:v>
                </c:pt>
                <c:pt idx="2">
                  <c:v>PR</c:v>
                </c:pt>
              </c:strCache>
            </c:strRef>
          </c:tx>
          <c:spPr>
            <a:ln w="19050" cap="rnd">
              <a:solidFill>
                <a:schemeClr val="accent2"/>
              </a:solidFill>
              <a:round/>
            </a:ln>
            <a:effectLst/>
          </c:spPr>
          <c:marker>
            <c:symbol val="none"/>
          </c:marker>
          <c:xVal>
            <c:numRef>
              <c:f>Standing!$AM$6:$AM$30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Standing!$AG$6:$AG$30</c:f>
              <c:numCache>
                <c:formatCode>0</c:formatCode>
                <c:ptCount val="25"/>
                <c:pt idx="0">
                  <c:v>182.20588636363632</c:v>
                </c:pt>
                <c:pt idx="1">
                  <c:v>196.53803020276158</c:v>
                </c:pt>
                <c:pt idx="2">
                  <c:v>210.32902299382835</c:v>
                </c:pt>
                <c:pt idx="3">
                  <c:v>222.63903136881865</c:v>
                </c:pt>
                <c:pt idx="4">
                  <c:v>232.62914860022758</c:v>
                </c:pt>
                <c:pt idx="5">
                  <c:v>239.61856470818392</c:v>
                </c:pt>
                <c:pt idx="6">
                  <c:v>243.13096253548676</c:v>
                </c:pt>
                <c:pt idx="7">
                  <c:v>242.92697797471715</c:v>
                </c:pt>
                <c:pt idx="8">
                  <c:v>239.02051223659123</c:v>
                </c:pt>
                <c:pt idx="9">
                  <c:v>231.67778450542232</c:v>
                </c:pt>
                <c:pt idx="10">
                  <c:v>221.39918954165839</c:v>
                </c:pt>
                <c:pt idx="11">
                  <c:v>208.88519660589847</c:v>
                </c:pt>
                <c:pt idx="12">
                  <c:v>194.98861363636362</c:v>
                </c:pt>
                <c:pt idx="13">
                  <c:v>180.65646979723837</c:v>
                </c:pt>
                <c:pt idx="14">
                  <c:v>166.8654770061716</c:v>
                </c:pt>
                <c:pt idx="15">
                  <c:v>154.5554686311813</c:v>
                </c:pt>
                <c:pt idx="16">
                  <c:v>144.56535139977237</c:v>
                </c:pt>
                <c:pt idx="17">
                  <c:v>137.57593529181602</c:v>
                </c:pt>
                <c:pt idx="18">
                  <c:v>134.06353746451322</c:v>
                </c:pt>
                <c:pt idx="19">
                  <c:v>134.26752202528283</c:v>
                </c:pt>
                <c:pt idx="20">
                  <c:v>138.17398776340872</c:v>
                </c:pt>
                <c:pt idx="21">
                  <c:v>145.5167154945776</c:v>
                </c:pt>
                <c:pt idx="22">
                  <c:v>155.79531045834159</c:v>
                </c:pt>
                <c:pt idx="23">
                  <c:v>168.30930339410145</c:v>
                </c:pt>
                <c:pt idx="24">
                  <c:v>182.20588636363632</c:v>
                </c:pt>
              </c:numCache>
            </c:numRef>
          </c:yVal>
          <c:smooth val="0"/>
        </c:ser>
        <c:dLbls>
          <c:showLegendKey val="0"/>
          <c:showVal val="0"/>
          <c:showCatName val="0"/>
          <c:showSerName val="0"/>
          <c:showPercent val="0"/>
          <c:showBubbleSize val="0"/>
        </c:dLbls>
        <c:axId val="458097640"/>
        <c:axId val="458098032"/>
      </c:scatterChart>
      <c:valAx>
        <c:axId val="458097640"/>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098032"/>
        <c:crosses val="autoZero"/>
        <c:crossBetween val="midCat"/>
        <c:majorUnit val="45"/>
        <c:minorUnit val="15"/>
      </c:valAx>
      <c:valAx>
        <c:axId val="458098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Force on TRack (kN)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097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Other!$Q$2:$Q$5</c:f>
              <c:strCache>
                <c:ptCount val="4"/>
                <c:pt idx="0">
                  <c:v>Min bearing pressure R.H. track (kN/m^2)</c:v>
                </c:pt>
              </c:strCache>
            </c:strRef>
          </c:tx>
          <c:spPr>
            <a:ln w="19050" cap="rnd">
              <a:solidFill>
                <a:schemeClr val="accent1"/>
              </a:solidFill>
              <a:round/>
            </a:ln>
            <a:effectLst/>
          </c:spPr>
          <c:marker>
            <c:symbol val="none"/>
          </c:marker>
          <c:xVal>
            <c:numRef>
              <c:f>Other!$L$6:$L$29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Other!$Q$6:$Q$29</c:f>
              <c:numCache>
                <c:formatCode>0</c:formatCode>
                <c:ptCount val="24"/>
                <c:pt idx="0">
                  <c:v>17.023677616280853</c:v>
                </c:pt>
                <c:pt idx="1">
                  <c:v>18.569417377212705</c:v>
                </c:pt>
                <c:pt idx="2">
                  <c:v>24.108110668681533</c:v>
                </c:pt>
                <c:pt idx="3">
                  <c:v>33.946602965008495</c:v>
                </c:pt>
                <c:pt idx="4">
                  <c:v>47.796291515687727</c:v>
                </c:pt>
                <c:pt idx="5">
                  <c:v>64.690470251512494</c:v>
                </c:pt>
                <c:pt idx="6">
                  <c:v>83.056337922350679</c:v>
                </c:pt>
                <c:pt idx="7">
                  <c:v>81.046285283491159</c:v>
                </c:pt>
                <c:pt idx="8">
                  <c:v>62.74995252003287</c:v>
                </c:pt>
                <c:pt idx="9">
                  <c:v>46.120041097926133</c:v>
                </c:pt>
                <c:pt idx="10">
                  <c:v>32.671726238971026</c:v>
                </c:pt>
                <c:pt idx="11">
                  <c:v>23.298615694243786</c:v>
                </c:pt>
                <c:pt idx="12">
                  <c:v>18.217980569333964</c:v>
                </c:pt>
                <c:pt idx="13">
                  <c:v>17.068886800675809</c:v>
                </c:pt>
                <c:pt idx="14">
                  <c:v>19.126278100788586</c:v>
                </c:pt>
                <c:pt idx="15">
                  <c:v>23.56564838355807</c:v>
                </c:pt>
                <c:pt idx="16">
                  <c:v>29.702587660008287</c:v>
                </c:pt>
                <c:pt idx="17">
                  <c:v>37.141746342391244</c:v>
                </c:pt>
                <c:pt idx="18">
                  <c:v>45.797648948529599</c:v>
                </c:pt>
                <c:pt idx="19">
                  <c:v>44.794876160279919</c:v>
                </c:pt>
                <c:pt idx="20">
                  <c:v>36.274757720689742</c:v>
                </c:pt>
                <c:pt idx="21">
                  <c:v>28.96797771686251</c:v>
                </c:pt>
                <c:pt idx="22">
                  <c:v>22.990606890422612</c:v>
                </c:pt>
                <c:pt idx="23">
                  <c:v>18.772865867290097</c:v>
                </c:pt>
              </c:numCache>
            </c:numRef>
          </c:yVal>
          <c:smooth val="0"/>
        </c:ser>
        <c:ser>
          <c:idx val="1"/>
          <c:order val="1"/>
          <c:tx>
            <c:strRef>
              <c:f>Other!$O$2:$O$5</c:f>
              <c:strCache>
                <c:ptCount val="4"/>
                <c:pt idx="0">
                  <c:v>Min pressure L.H. track (kN/m^2)</c:v>
                </c:pt>
              </c:strCache>
            </c:strRef>
          </c:tx>
          <c:spPr>
            <a:ln w="19050" cap="rnd">
              <a:solidFill>
                <a:schemeClr val="accent2"/>
              </a:solidFill>
              <a:round/>
            </a:ln>
            <a:effectLst/>
          </c:spPr>
          <c:marker>
            <c:symbol val="none"/>
          </c:marker>
          <c:xVal>
            <c:numRef>
              <c:f>Other!$L$6:$L$29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Other!$O$6:$O$29</c:f>
              <c:numCache>
                <c:formatCode>0</c:formatCode>
                <c:ptCount val="24"/>
                <c:pt idx="0">
                  <c:v>18.217980569333964</c:v>
                </c:pt>
                <c:pt idx="1">
                  <c:v>17.068886800675809</c:v>
                </c:pt>
                <c:pt idx="2">
                  <c:v>19.126278100788589</c:v>
                </c:pt>
                <c:pt idx="3">
                  <c:v>23.56564838355807</c:v>
                </c:pt>
                <c:pt idx="4">
                  <c:v>29.702587660008295</c:v>
                </c:pt>
                <c:pt idx="5">
                  <c:v>37.141746342391251</c:v>
                </c:pt>
                <c:pt idx="6">
                  <c:v>45.797648948529627</c:v>
                </c:pt>
                <c:pt idx="7">
                  <c:v>44.794876160279919</c:v>
                </c:pt>
                <c:pt idx="8">
                  <c:v>36.274757720689728</c:v>
                </c:pt>
                <c:pt idx="9">
                  <c:v>28.967977716862492</c:v>
                </c:pt>
                <c:pt idx="10">
                  <c:v>22.99060689042263</c:v>
                </c:pt>
                <c:pt idx="11">
                  <c:v>18.772865867290093</c:v>
                </c:pt>
                <c:pt idx="12">
                  <c:v>17.023677616280853</c:v>
                </c:pt>
                <c:pt idx="13">
                  <c:v>18.569417377212705</c:v>
                </c:pt>
                <c:pt idx="14">
                  <c:v>24.108110668681523</c:v>
                </c:pt>
                <c:pt idx="15">
                  <c:v>33.946602965008488</c:v>
                </c:pt>
                <c:pt idx="16">
                  <c:v>47.79629151568772</c:v>
                </c:pt>
                <c:pt idx="17">
                  <c:v>64.690470251512465</c:v>
                </c:pt>
                <c:pt idx="18">
                  <c:v>83.056337922350636</c:v>
                </c:pt>
                <c:pt idx="19">
                  <c:v>81.046285283491159</c:v>
                </c:pt>
                <c:pt idx="20">
                  <c:v>62.749952520032892</c:v>
                </c:pt>
                <c:pt idx="21">
                  <c:v>46.120041097926169</c:v>
                </c:pt>
                <c:pt idx="22">
                  <c:v>32.671726238971004</c:v>
                </c:pt>
                <c:pt idx="23">
                  <c:v>23.2986156942438</c:v>
                </c:pt>
              </c:numCache>
            </c:numRef>
          </c:yVal>
          <c:smooth val="0"/>
        </c:ser>
        <c:dLbls>
          <c:showLegendKey val="0"/>
          <c:showVal val="0"/>
          <c:showCatName val="0"/>
          <c:showSerName val="0"/>
          <c:showPercent val="0"/>
          <c:showBubbleSize val="0"/>
        </c:dLbls>
        <c:axId val="356822416"/>
        <c:axId val="356823200"/>
      </c:scatterChart>
      <c:valAx>
        <c:axId val="356822416"/>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6823200"/>
        <c:crosses val="autoZero"/>
        <c:crossBetween val="midCat"/>
        <c:majorUnit val="45"/>
        <c:minorUnit val="15"/>
      </c:valAx>
      <c:valAx>
        <c:axId val="35682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68224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Standing!$P$2:$P$5</c:f>
              <c:strCache>
                <c:ptCount val="4"/>
                <c:pt idx="0">
                  <c:v>Max bearing pressure R.H. track (kN/m^2)</c:v>
                </c:pt>
              </c:strCache>
            </c:strRef>
          </c:tx>
          <c:spPr>
            <a:ln w="19050" cap="rnd">
              <a:solidFill>
                <a:schemeClr val="accent1"/>
              </a:solidFill>
              <a:round/>
            </a:ln>
            <a:effectLst/>
          </c:spPr>
          <c:marker>
            <c:symbol val="none"/>
          </c:marker>
          <c:xVal>
            <c:numRef>
              <c:f>Standing!$L$6:$L$29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Standing!$P$6:$P$29</c:f>
              <c:numCache>
                <c:formatCode>0</c:formatCode>
                <c:ptCount val="24"/>
                <c:pt idx="0">
                  <c:v>119.47035666616455</c:v>
                </c:pt>
                <c:pt idx="1">
                  <c:v>128.66110940588834</c:v>
                </c:pt>
                <c:pt idx="2">
                  <c:v>133.45352165870506</c:v>
                </c:pt>
                <c:pt idx="3">
                  <c:v>132.83670018040965</c:v>
                </c:pt>
                <c:pt idx="4">
                  <c:v>126.47080609479065</c:v>
                </c:pt>
                <c:pt idx="5">
                  <c:v>114.81253724581609</c:v>
                </c:pt>
                <c:pt idx="6">
                  <c:v>99.077876277579463</c:v>
                </c:pt>
                <c:pt idx="7">
                  <c:v>100.93512004628423</c:v>
                </c:pt>
                <c:pt idx="8">
                  <c:v>116.3050420388039</c:v>
                </c:pt>
                <c:pt idx="9">
                  <c:v>127.43437084710523</c:v>
                </c:pt>
                <c:pt idx="10">
                  <c:v>133.18278686437631</c:v>
                </c:pt>
                <c:pt idx="11">
                  <c:v>133.18141772091727</c:v>
                </c:pt>
                <c:pt idx="12">
                  <c:v>127.85184760982825</c:v>
                </c:pt>
                <c:pt idx="13">
                  <c:v>118.26444887783073</c:v>
                </c:pt>
                <c:pt idx="14">
                  <c:v>105.87595203343243</c:v>
                </c:pt>
                <c:pt idx="15">
                  <c:v>92.214910932631383</c:v>
                </c:pt>
                <c:pt idx="16">
                  <c:v>78.59417719112092</c:v>
                </c:pt>
                <c:pt idx="17">
                  <c:v>65.919108621887744</c:v>
                </c:pt>
                <c:pt idx="18">
                  <c:v>54.631999313147851</c:v>
                </c:pt>
                <c:pt idx="19">
                  <c:v>55.787580971552281</c:v>
                </c:pt>
                <c:pt idx="20">
                  <c:v>67.234110182081054</c:v>
                </c:pt>
                <c:pt idx="21">
                  <c:v>80.041472799713716</c:v>
                </c:pt>
                <c:pt idx="22">
                  <c:v>93.718742467837643</c:v>
                </c:pt>
                <c:pt idx="23">
                  <c:v>107.31096317915643</c:v>
                </c:pt>
              </c:numCache>
            </c:numRef>
          </c:yVal>
          <c:smooth val="0"/>
        </c:ser>
        <c:ser>
          <c:idx val="1"/>
          <c:order val="1"/>
          <c:tx>
            <c:strRef>
              <c:f>Standing!$N$2:$N$5</c:f>
              <c:strCache>
                <c:ptCount val="4"/>
                <c:pt idx="0">
                  <c:v>Max bearing pressure L.H. track (kN/m^2)</c:v>
                </c:pt>
              </c:strCache>
            </c:strRef>
          </c:tx>
          <c:spPr>
            <a:ln w="19050" cap="rnd">
              <a:solidFill>
                <a:schemeClr val="accent2"/>
              </a:solidFill>
              <a:round/>
            </a:ln>
            <a:effectLst/>
          </c:spPr>
          <c:marker>
            <c:symbol val="none"/>
          </c:marker>
          <c:xVal>
            <c:numRef>
              <c:f>Standing!$L$6:$L$29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Standing!$N$6:$N$29</c:f>
              <c:numCache>
                <c:formatCode>0</c:formatCode>
                <c:ptCount val="24"/>
                <c:pt idx="0">
                  <c:v>127.85184760982825</c:v>
                </c:pt>
                <c:pt idx="1">
                  <c:v>118.26444887783073</c:v>
                </c:pt>
                <c:pt idx="2">
                  <c:v>105.8759520334324</c:v>
                </c:pt>
                <c:pt idx="3">
                  <c:v>92.214910932631383</c:v>
                </c:pt>
                <c:pt idx="4">
                  <c:v>78.594177191120906</c:v>
                </c:pt>
                <c:pt idx="5">
                  <c:v>65.919108621887744</c:v>
                </c:pt>
                <c:pt idx="6">
                  <c:v>54.631999313147816</c:v>
                </c:pt>
                <c:pt idx="7">
                  <c:v>55.787580971552281</c:v>
                </c:pt>
                <c:pt idx="8">
                  <c:v>67.234110182081068</c:v>
                </c:pt>
                <c:pt idx="9">
                  <c:v>80.041472799713745</c:v>
                </c:pt>
                <c:pt idx="10">
                  <c:v>93.7187424678376</c:v>
                </c:pt>
                <c:pt idx="11">
                  <c:v>107.31096317915645</c:v>
                </c:pt>
                <c:pt idx="12">
                  <c:v>119.47035666616455</c:v>
                </c:pt>
                <c:pt idx="13">
                  <c:v>128.66110940588834</c:v>
                </c:pt>
                <c:pt idx="14">
                  <c:v>133.45352165870503</c:v>
                </c:pt>
                <c:pt idx="15">
                  <c:v>132.83670018040962</c:v>
                </c:pt>
                <c:pt idx="16">
                  <c:v>126.47080609479067</c:v>
                </c:pt>
                <c:pt idx="17">
                  <c:v>114.8125372458161</c:v>
                </c:pt>
                <c:pt idx="18">
                  <c:v>99.07787627757952</c:v>
                </c:pt>
                <c:pt idx="19">
                  <c:v>100.93512004628423</c:v>
                </c:pt>
                <c:pt idx="20">
                  <c:v>116.30504203880389</c:v>
                </c:pt>
                <c:pt idx="21">
                  <c:v>127.43437084710519</c:v>
                </c:pt>
                <c:pt idx="22">
                  <c:v>133.18278686437634</c:v>
                </c:pt>
                <c:pt idx="23">
                  <c:v>133.18141772091727</c:v>
                </c:pt>
              </c:numCache>
            </c:numRef>
          </c:yVal>
          <c:smooth val="0"/>
        </c:ser>
        <c:dLbls>
          <c:showLegendKey val="0"/>
          <c:showVal val="0"/>
          <c:showCatName val="0"/>
          <c:showSerName val="0"/>
          <c:showPercent val="0"/>
          <c:showBubbleSize val="0"/>
        </c:dLbls>
        <c:axId val="357230104"/>
        <c:axId val="357227360"/>
      </c:scatterChart>
      <c:valAx>
        <c:axId val="357230104"/>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227360"/>
        <c:crosses val="autoZero"/>
        <c:crossBetween val="midCat"/>
        <c:majorUnit val="45"/>
        <c:minorUnit val="15"/>
      </c:valAx>
      <c:valAx>
        <c:axId val="35722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Max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2301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Standing!$Q$2:$Q$5</c:f>
              <c:strCache>
                <c:ptCount val="4"/>
                <c:pt idx="0">
                  <c:v>Min bearing pressure R.H. track (kN/m^2)</c:v>
                </c:pt>
              </c:strCache>
            </c:strRef>
          </c:tx>
          <c:spPr>
            <a:ln w="19050" cap="rnd">
              <a:solidFill>
                <a:schemeClr val="accent1"/>
              </a:solidFill>
              <a:round/>
            </a:ln>
            <a:effectLst/>
          </c:spPr>
          <c:marker>
            <c:symbol val="none"/>
          </c:marker>
          <c:xVal>
            <c:numRef>
              <c:f>Standing!$L$6:$L$29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Standing!$Q$6:$Q$29</c:f>
              <c:numCache>
                <c:formatCode>0</c:formatCode>
                <c:ptCount val="24"/>
                <c:pt idx="0">
                  <c:v>17.023677616280853</c:v>
                </c:pt>
                <c:pt idx="1">
                  <c:v>18.569417377212705</c:v>
                </c:pt>
                <c:pt idx="2">
                  <c:v>24.108110668681533</c:v>
                </c:pt>
                <c:pt idx="3">
                  <c:v>33.946602965008495</c:v>
                </c:pt>
                <c:pt idx="4">
                  <c:v>47.796291515687727</c:v>
                </c:pt>
                <c:pt idx="5">
                  <c:v>64.690470251512494</c:v>
                </c:pt>
                <c:pt idx="6">
                  <c:v>83.056337922350679</c:v>
                </c:pt>
                <c:pt idx="7">
                  <c:v>81.046285283491159</c:v>
                </c:pt>
                <c:pt idx="8">
                  <c:v>62.74995252003287</c:v>
                </c:pt>
                <c:pt idx="9">
                  <c:v>46.120041097926133</c:v>
                </c:pt>
                <c:pt idx="10">
                  <c:v>32.671726238971026</c:v>
                </c:pt>
                <c:pt idx="11">
                  <c:v>23.298615694243786</c:v>
                </c:pt>
                <c:pt idx="12">
                  <c:v>18.217980569333964</c:v>
                </c:pt>
                <c:pt idx="13">
                  <c:v>17.068886800675809</c:v>
                </c:pt>
                <c:pt idx="14">
                  <c:v>19.126278100788586</c:v>
                </c:pt>
                <c:pt idx="15">
                  <c:v>23.56564838355807</c:v>
                </c:pt>
                <c:pt idx="16">
                  <c:v>29.702587660008287</c:v>
                </c:pt>
                <c:pt idx="17">
                  <c:v>37.141746342391244</c:v>
                </c:pt>
                <c:pt idx="18">
                  <c:v>45.797648948529599</c:v>
                </c:pt>
                <c:pt idx="19">
                  <c:v>44.794876160279919</c:v>
                </c:pt>
                <c:pt idx="20">
                  <c:v>36.274757720689742</c:v>
                </c:pt>
                <c:pt idx="21">
                  <c:v>28.96797771686251</c:v>
                </c:pt>
                <c:pt idx="22">
                  <c:v>22.990606890422612</c:v>
                </c:pt>
                <c:pt idx="23">
                  <c:v>18.772865867290097</c:v>
                </c:pt>
              </c:numCache>
            </c:numRef>
          </c:yVal>
          <c:smooth val="0"/>
        </c:ser>
        <c:ser>
          <c:idx val="1"/>
          <c:order val="1"/>
          <c:tx>
            <c:strRef>
              <c:f>Standing!$O$2:$O$5</c:f>
              <c:strCache>
                <c:ptCount val="4"/>
                <c:pt idx="0">
                  <c:v>Min pressure L.H. track (kN/m^2)</c:v>
                </c:pt>
              </c:strCache>
            </c:strRef>
          </c:tx>
          <c:spPr>
            <a:ln w="19050" cap="rnd">
              <a:solidFill>
                <a:schemeClr val="accent2"/>
              </a:solidFill>
              <a:round/>
            </a:ln>
            <a:effectLst/>
          </c:spPr>
          <c:marker>
            <c:symbol val="none"/>
          </c:marker>
          <c:xVal>
            <c:numRef>
              <c:f>Standing!$L$6:$L$29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Standing!$O$6:$O$29</c:f>
              <c:numCache>
                <c:formatCode>0</c:formatCode>
                <c:ptCount val="24"/>
                <c:pt idx="0">
                  <c:v>18.217980569333964</c:v>
                </c:pt>
                <c:pt idx="1">
                  <c:v>17.068886800675809</c:v>
                </c:pt>
                <c:pt idx="2">
                  <c:v>19.126278100788589</c:v>
                </c:pt>
                <c:pt idx="3">
                  <c:v>23.56564838355807</c:v>
                </c:pt>
                <c:pt idx="4">
                  <c:v>29.702587660008295</c:v>
                </c:pt>
                <c:pt idx="5">
                  <c:v>37.141746342391251</c:v>
                </c:pt>
                <c:pt idx="6">
                  <c:v>45.797648948529627</c:v>
                </c:pt>
                <c:pt idx="7">
                  <c:v>44.794876160279919</c:v>
                </c:pt>
                <c:pt idx="8">
                  <c:v>36.274757720689728</c:v>
                </c:pt>
                <c:pt idx="9">
                  <c:v>28.967977716862492</c:v>
                </c:pt>
                <c:pt idx="10">
                  <c:v>22.99060689042263</c:v>
                </c:pt>
                <c:pt idx="11">
                  <c:v>18.772865867290093</c:v>
                </c:pt>
                <c:pt idx="12">
                  <c:v>17.023677616280853</c:v>
                </c:pt>
                <c:pt idx="13">
                  <c:v>18.569417377212705</c:v>
                </c:pt>
                <c:pt idx="14">
                  <c:v>24.108110668681523</c:v>
                </c:pt>
                <c:pt idx="15">
                  <c:v>33.946602965008488</c:v>
                </c:pt>
                <c:pt idx="16">
                  <c:v>47.79629151568772</c:v>
                </c:pt>
                <c:pt idx="17">
                  <c:v>64.690470251512465</c:v>
                </c:pt>
                <c:pt idx="18">
                  <c:v>83.056337922350636</c:v>
                </c:pt>
                <c:pt idx="19">
                  <c:v>81.046285283491159</c:v>
                </c:pt>
                <c:pt idx="20">
                  <c:v>62.749952520032892</c:v>
                </c:pt>
                <c:pt idx="21">
                  <c:v>46.120041097926169</c:v>
                </c:pt>
                <c:pt idx="22">
                  <c:v>32.671726238971004</c:v>
                </c:pt>
                <c:pt idx="23">
                  <c:v>23.2986156942438</c:v>
                </c:pt>
              </c:numCache>
            </c:numRef>
          </c:yVal>
          <c:smooth val="0"/>
        </c:ser>
        <c:dLbls>
          <c:showLegendKey val="0"/>
          <c:showVal val="0"/>
          <c:showCatName val="0"/>
          <c:showSerName val="0"/>
          <c:showPercent val="0"/>
          <c:showBubbleSize val="0"/>
        </c:dLbls>
        <c:axId val="452668928"/>
        <c:axId val="452665400"/>
      </c:scatterChart>
      <c:valAx>
        <c:axId val="452668928"/>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665400"/>
        <c:crosses val="autoZero"/>
        <c:crossBetween val="midCat"/>
        <c:majorUnit val="45"/>
        <c:minorUnit val="15"/>
      </c:valAx>
      <c:valAx>
        <c:axId val="45266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6689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Position of Non-Slewing Actions</c:v>
          </c:tx>
          <c:spPr>
            <a:ln w="25400" cap="rnd">
              <a:noFill/>
              <a:round/>
            </a:ln>
            <a:effectLst/>
          </c:spPr>
          <c:marker>
            <c:symbol val="square"/>
            <c:size val="8"/>
            <c:spPr>
              <a:solidFill>
                <a:srgbClr val="FF0000"/>
              </a:solidFill>
              <a:ln w="9525">
                <a:solidFill>
                  <a:srgbClr val="FF0000"/>
                </a:solidFill>
              </a:ln>
              <a:effectLst/>
            </c:spPr>
          </c:marker>
          <c:xVal>
            <c:numRef>
              <c:f>Travelling!$AP$6:$AP$30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xVal>
          <c:yVal>
            <c:numRef>
              <c:f>Travelling!$AQ$6:$AQ$30</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0"/>
        </c:ser>
        <c:ser>
          <c:idx val="1"/>
          <c:order val="1"/>
          <c:tx>
            <c:v>Resultant of Slewing Actions</c:v>
          </c:tx>
          <c:spPr>
            <a:ln w="25400" cap="rnd">
              <a:noFill/>
              <a:round/>
            </a:ln>
            <a:effectLst/>
          </c:spPr>
          <c:marker>
            <c:symbol val="circle"/>
            <c:size val="5"/>
            <c:spPr>
              <a:noFill/>
              <a:ln w="9525">
                <a:solidFill>
                  <a:schemeClr val="accent2"/>
                </a:solidFill>
              </a:ln>
              <a:effectLst/>
            </c:spPr>
          </c:marker>
          <c:xVal>
            <c:numRef>
              <c:f>Travelling!$BA$6:$BA$30</c:f>
              <c:numCache>
                <c:formatCode>0.00</c:formatCode>
                <c:ptCount val="25"/>
                <c:pt idx="0">
                  <c:v>-7.5571177504393683E-2</c:v>
                </c:pt>
                <c:pt idx="1">
                  <c:v>9.3891404771907966E-2</c:v>
                </c:pt>
                <c:pt idx="2">
                  <c:v>0.25695544297588685</c:v>
                </c:pt>
                <c:pt idx="3">
                  <c:v>0.40250839238000624</c:v>
                </c:pt>
                <c:pt idx="4">
                  <c:v>0.52063106001999715</c:v>
                </c:pt>
                <c:pt idx="5">
                  <c:v>0.60327358130313224</c:v>
                </c:pt>
                <c:pt idx="6">
                  <c:v>0.64480400497718982</c:v>
                </c:pt>
                <c:pt idx="7">
                  <c:v>0.64239210130105284</c:v>
                </c:pt>
                <c:pt idx="8">
                  <c:v>0.59620223752439083</c:v>
                </c:pt>
                <c:pt idx="9">
                  <c:v>0.50938217653122431</c:v>
                </c:pt>
                <c:pt idx="10">
                  <c:v>0.38784856200130319</c:v>
                </c:pt>
                <c:pt idx="11">
                  <c:v>0.2398837089210468</c:v>
                </c:pt>
                <c:pt idx="12">
                  <c:v>7.5571177504393794E-2</c:v>
                </c:pt>
                <c:pt idx="13">
                  <c:v>-9.3891404771907966E-2</c:v>
                </c:pt>
                <c:pt idx="14">
                  <c:v>-0.25695544297588663</c:v>
                </c:pt>
                <c:pt idx="15">
                  <c:v>-0.40250839238000607</c:v>
                </c:pt>
                <c:pt idx="16">
                  <c:v>-0.52063106001999715</c:v>
                </c:pt>
                <c:pt idx="17">
                  <c:v>-0.60327358130313213</c:v>
                </c:pt>
                <c:pt idx="18">
                  <c:v>-0.6448040049771897</c:v>
                </c:pt>
                <c:pt idx="19">
                  <c:v>-0.64239210130105284</c:v>
                </c:pt>
                <c:pt idx="20">
                  <c:v>-0.59620223752439094</c:v>
                </c:pt>
                <c:pt idx="21">
                  <c:v>-0.50938217653122453</c:v>
                </c:pt>
                <c:pt idx="22">
                  <c:v>-0.38784856200130297</c:v>
                </c:pt>
                <c:pt idx="23">
                  <c:v>-0.23988370892104688</c:v>
                </c:pt>
                <c:pt idx="24">
                  <c:v>-7.5571177504394169E-2</c:v>
                </c:pt>
              </c:numCache>
            </c:numRef>
          </c:xVal>
          <c:yVal>
            <c:numRef>
              <c:f>Travelling!$BB$6:$BB$30</c:f>
              <c:numCache>
                <c:formatCode>0.00</c:formatCode>
                <c:ptCount val="25"/>
                <c:pt idx="0">
                  <c:v>0.64480400497718982</c:v>
                </c:pt>
                <c:pt idx="1">
                  <c:v>0.64239210130105284</c:v>
                </c:pt>
                <c:pt idx="2">
                  <c:v>0.59620223752439083</c:v>
                </c:pt>
                <c:pt idx="3">
                  <c:v>0.50938217653122431</c:v>
                </c:pt>
                <c:pt idx="4">
                  <c:v>0.38784856200130291</c:v>
                </c:pt>
                <c:pt idx="5">
                  <c:v>0.23988370892104666</c:v>
                </c:pt>
                <c:pt idx="6">
                  <c:v>7.5571177504393613E-2</c:v>
                </c:pt>
                <c:pt idx="7">
                  <c:v>-9.3891404771908007E-2</c:v>
                </c:pt>
                <c:pt idx="8">
                  <c:v>-0.25695544297588685</c:v>
                </c:pt>
                <c:pt idx="9">
                  <c:v>-0.40250839238000607</c:v>
                </c:pt>
                <c:pt idx="10">
                  <c:v>-0.52063106001999693</c:v>
                </c:pt>
                <c:pt idx="11">
                  <c:v>-0.60327358130313224</c:v>
                </c:pt>
                <c:pt idx="12">
                  <c:v>-0.64480400497718982</c:v>
                </c:pt>
                <c:pt idx="13">
                  <c:v>-0.64239210130105284</c:v>
                </c:pt>
                <c:pt idx="14">
                  <c:v>-0.59620223752439094</c:v>
                </c:pt>
                <c:pt idx="15">
                  <c:v>-0.50938217653122431</c:v>
                </c:pt>
                <c:pt idx="16">
                  <c:v>-0.38784856200130297</c:v>
                </c:pt>
                <c:pt idx="17">
                  <c:v>-0.23988370892104682</c:v>
                </c:pt>
                <c:pt idx="18">
                  <c:v>-7.5571177504394113E-2</c:v>
                </c:pt>
                <c:pt idx="19">
                  <c:v>9.3891404771907938E-2</c:v>
                </c:pt>
                <c:pt idx="20">
                  <c:v>0.25695544297588663</c:v>
                </c:pt>
                <c:pt idx="21">
                  <c:v>0.4025083923800058</c:v>
                </c:pt>
                <c:pt idx="22">
                  <c:v>0.52063106001999715</c:v>
                </c:pt>
                <c:pt idx="23">
                  <c:v>0.60327358130313213</c:v>
                </c:pt>
                <c:pt idx="24">
                  <c:v>0.6448040049771897</c:v>
                </c:pt>
              </c:numCache>
            </c:numRef>
          </c:yVal>
          <c:smooth val="0"/>
        </c:ser>
        <c:ser>
          <c:idx val="2"/>
          <c:order val="2"/>
          <c:tx>
            <c:strRef>
              <c:f>Travelling!$AO$34</c:f>
              <c:strCache>
                <c:ptCount val="1"/>
                <c:pt idx="0">
                  <c:v>LHS</c:v>
                </c:pt>
              </c:strCache>
            </c:strRef>
          </c:tx>
          <c:spPr>
            <a:ln w="25400" cap="rnd">
              <a:solidFill>
                <a:schemeClr val="accent1"/>
              </a:solidFill>
              <a:round/>
            </a:ln>
            <a:effectLst/>
          </c:spPr>
          <c:marker>
            <c:symbol val="none"/>
          </c:marker>
          <c:xVal>
            <c:numRef>
              <c:f>Travelling!$AO$36:$AO$40</c:f>
              <c:numCache>
                <c:formatCode>0.000</c:formatCode>
                <c:ptCount val="5"/>
                <c:pt idx="0">
                  <c:v>-2</c:v>
                </c:pt>
                <c:pt idx="1">
                  <c:v>-1.2999999999999998</c:v>
                </c:pt>
                <c:pt idx="2">
                  <c:v>-1.2999999999999998</c:v>
                </c:pt>
                <c:pt idx="3">
                  <c:v>-2</c:v>
                </c:pt>
                <c:pt idx="4">
                  <c:v>-2</c:v>
                </c:pt>
              </c:numCache>
            </c:numRef>
          </c:xVal>
          <c:yVal>
            <c:numRef>
              <c:f>Travelling!$AP$36:$AP$40</c:f>
              <c:numCache>
                <c:formatCode>0.000</c:formatCode>
                <c:ptCount val="5"/>
                <c:pt idx="0">
                  <c:v>1.907</c:v>
                </c:pt>
                <c:pt idx="1">
                  <c:v>1.907</c:v>
                </c:pt>
                <c:pt idx="2">
                  <c:v>-1.907</c:v>
                </c:pt>
                <c:pt idx="3">
                  <c:v>-1.907</c:v>
                </c:pt>
                <c:pt idx="4">
                  <c:v>1.907</c:v>
                </c:pt>
              </c:numCache>
            </c:numRef>
          </c:yVal>
          <c:smooth val="0"/>
        </c:ser>
        <c:ser>
          <c:idx val="3"/>
          <c:order val="3"/>
          <c:tx>
            <c:strRef>
              <c:f>Travelling!$AR$34</c:f>
              <c:strCache>
                <c:ptCount val="1"/>
                <c:pt idx="0">
                  <c:v>RHS</c:v>
                </c:pt>
              </c:strCache>
            </c:strRef>
          </c:tx>
          <c:spPr>
            <a:ln w="25400" cap="rnd">
              <a:solidFill>
                <a:schemeClr val="accent1"/>
              </a:solidFill>
              <a:round/>
            </a:ln>
            <a:effectLst/>
          </c:spPr>
          <c:marker>
            <c:symbol val="none"/>
          </c:marker>
          <c:xVal>
            <c:numRef>
              <c:f>Travelling!$AR$36:$AR$40</c:f>
              <c:numCache>
                <c:formatCode>0.000</c:formatCode>
                <c:ptCount val="5"/>
                <c:pt idx="0">
                  <c:v>2</c:v>
                </c:pt>
                <c:pt idx="1">
                  <c:v>1.2999999999999998</c:v>
                </c:pt>
                <c:pt idx="2">
                  <c:v>1.2999999999999998</c:v>
                </c:pt>
                <c:pt idx="3">
                  <c:v>2</c:v>
                </c:pt>
                <c:pt idx="4">
                  <c:v>2</c:v>
                </c:pt>
              </c:numCache>
            </c:numRef>
          </c:xVal>
          <c:yVal>
            <c:numRef>
              <c:f>Travelling!$AS$36:$AS$40</c:f>
              <c:numCache>
                <c:formatCode>0.000</c:formatCode>
                <c:ptCount val="5"/>
                <c:pt idx="0">
                  <c:v>1.907</c:v>
                </c:pt>
                <c:pt idx="1">
                  <c:v>1.907</c:v>
                </c:pt>
                <c:pt idx="2">
                  <c:v>-1.907</c:v>
                </c:pt>
                <c:pt idx="3">
                  <c:v>-1.907</c:v>
                </c:pt>
                <c:pt idx="4">
                  <c:v>1.907</c:v>
                </c:pt>
              </c:numCache>
            </c:numRef>
          </c:yVal>
          <c:smooth val="0"/>
        </c:ser>
        <c:ser>
          <c:idx val="4"/>
          <c:order val="4"/>
          <c:tx>
            <c:v>Net Resultant of All Actions</c:v>
          </c:tx>
          <c:spPr>
            <a:ln w="25400" cap="rnd">
              <a:noFill/>
              <a:round/>
            </a:ln>
            <a:effectLst/>
          </c:spPr>
          <c:marker>
            <c:symbol val="circle"/>
            <c:size val="5"/>
            <c:spPr>
              <a:solidFill>
                <a:schemeClr val="accent5"/>
              </a:solidFill>
              <a:ln w="9525">
                <a:solidFill>
                  <a:schemeClr val="accent5"/>
                </a:solidFill>
              </a:ln>
              <a:effectLst/>
            </c:spPr>
          </c:marker>
          <c:xVal>
            <c:numRef>
              <c:f>Travelling!$BH$6:$BH$30</c:f>
              <c:numCache>
                <c:formatCode>0.00</c:formatCode>
                <c:ptCount val="25"/>
                <c:pt idx="0">
                  <c:v>-5.5916775032509761E-2</c:v>
                </c:pt>
                <c:pt idx="1">
                  <c:v>6.9472313803921507E-2</c:v>
                </c:pt>
                <c:pt idx="2">
                  <c:v>0.19012697926304242</c:v>
                </c:pt>
                <c:pt idx="3">
                  <c:v>0.29782480528507616</c:v>
                </c:pt>
                <c:pt idx="4">
                  <c:v>0.38522636300569363</c:v>
                </c:pt>
                <c:pt idx="5">
                  <c:v>0.44637538070413818</c:v>
                </c:pt>
                <c:pt idx="6">
                  <c:v>0.47710465387779066</c:v>
                </c:pt>
                <c:pt idx="7">
                  <c:v>0.47532003334239159</c:v>
                </c:pt>
                <c:pt idx="8">
                  <c:v>0.44114313803820338</c:v>
                </c:pt>
                <c:pt idx="9">
                  <c:v>0.37690306690021674</c:v>
                </c:pt>
                <c:pt idx="10">
                  <c:v>0.28697767461474843</c:v>
                </c:pt>
                <c:pt idx="11">
                  <c:v>0.17749522805731552</c:v>
                </c:pt>
                <c:pt idx="12">
                  <c:v>5.5916775032509844E-2</c:v>
                </c:pt>
                <c:pt idx="13">
                  <c:v>-6.9472313803921507E-2</c:v>
                </c:pt>
                <c:pt idx="14">
                  <c:v>-0.19012697926304226</c:v>
                </c:pt>
                <c:pt idx="15">
                  <c:v>-0.29782480528507604</c:v>
                </c:pt>
                <c:pt idx="16">
                  <c:v>-0.38522636300569363</c:v>
                </c:pt>
                <c:pt idx="17">
                  <c:v>-0.44637538070413812</c:v>
                </c:pt>
                <c:pt idx="18">
                  <c:v>-0.47710465387779061</c:v>
                </c:pt>
                <c:pt idx="19">
                  <c:v>-0.47532003334239159</c:v>
                </c:pt>
                <c:pt idx="20">
                  <c:v>-0.44114313803820343</c:v>
                </c:pt>
                <c:pt idx="21">
                  <c:v>-0.37690306690021691</c:v>
                </c:pt>
                <c:pt idx="22">
                  <c:v>-0.28697767461474827</c:v>
                </c:pt>
                <c:pt idx="23">
                  <c:v>-0.17749522805731557</c:v>
                </c:pt>
                <c:pt idx="24">
                  <c:v>-5.5916775032510128E-2</c:v>
                </c:pt>
              </c:numCache>
            </c:numRef>
          </c:xVal>
          <c:yVal>
            <c:numRef>
              <c:f>Travelling!$BI$6:$BI$30</c:f>
              <c:numCache>
                <c:formatCode>0.00</c:formatCode>
                <c:ptCount val="25"/>
                <c:pt idx="0">
                  <c:v>0.47710465387779066</c:v>
                </c:pt>
                <c:pt idx="1">
                  <c:v>0.47532003334239159</c:v>
                </c:pt>
                <c:pt idx="2">
                  <c:v>0.44114313803820338</c:v>
                </c:pt>
                <c:pt idx="3">
                  <c:v>0.37690306690021674</c:v>
                </c:pt>
                <c:pt idx="4">
                  <c:v>0.28697767461474821</c:v>
                </c:pt>
                <c:pt idx="5">
                  <c:v>0.17749522805731541</c:v>
                </c:pt>
                <c:pt idx="6">
                  <c:v>5.5916775032509712E-2</c:v>
                </c:pt>
                <c:pt idx="7">
                  <c:v>-6.9472313803921534E-2</c:v>
                </c:pt>
                <c:pt idx="8">
                  <c:v>-0.19012697926304242</c:v>
                </c:pt>
                <c:pt idx="9">
                  <c:v>-0.29782480528507604</c:v>
                </c:pt>
                <c:pt idx="10">
                  <c:v>-0.38522636300569346</c:v>
                </c:pt>
                <c:pt idx="11">
                  <c:v>-0.44637538070413818</c:v>
                </c:pt>
                <c:pt idx="12">
                  <c:v>-0.47710465387779066</c:v>
                </c:pt>
                <c:pt idx="13">
                  <c:v>-0.47532003334239159</c:v>
                </c:pt>
                <c:pt idx="14">
                  <c:v>-0.44114313803820343</c:v>
                </c:pt>
                <c:pt idx="15">
                  <c:v>-0.37690306690021674</c:v>
                </c:pt>
                <c:pt idx="16">
                  <c:v>-0.28697767461474827</c:v>
                </c:pt>
                <c:pt idx="17">
                  <c:v>-0.17749522805731552</c:v>
                </c:pt>
                <c:pt idx="18">
                  <c:v>-5.591677503251008E-2</c:v>
                </c:pt>
                <c:pt idx="19">
                  <c:v>6.9472313803921493E-2</c:v>
                </c:pt>
                <c:pt idx="20">
                  <c:v>0.19012697926304226</c:v>
                </c:pt>
                <c:pt idx="21">
                  <c:v>0.29782480528507582</c:v>
                </c:pt>
                <c:pt idx="22">
                  <c:v>0.38522636300569363</c:v>
                </c:pt>
                <c:pt idx="23">
                  <c:v>0.44637538070413812</c:v>
                </c:pt>
                <c:pt idx="24">
                  <c:v>0.47710465387779061</c:v>
                </c:pt>
              </c:numCache>
            </c:numRef>
          </c:yVal>
          <c:smooth val="0"/>
        </c:ser>
        <c:dLbls>
          <c:showLegendKey val="0"/>
          <c:showVal val="0"/>
          <c:showCatName val="0"/>
          <c:showSerName val="0"/>
          <c:showPercent val="0"/>
          <c:showBubbleSize val="0"/>
        </c:dLbls>
        <c:axId val="6823080"/>
        <c:axId val="6824256"/>
      </c:scatterChart>
      <c:valAx>
        <c:axId val="6823080"/>
        <c:scaling>
          <c:orientation val="minMax"/>
          <c:max val="5"/>
          <c:min val="-5"/>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4256"/>
        <c:crosses val="autoZero"/>
        <c:crossBetween val="midCat"/>
        <c:minorUnit val="0.5"/>
      </c:valAx>
      <c:valAx>
        <c:axId val="6824256"/>
        <c:scaling>
          <c:orientation val="minMax"/>
          <c:max val="5"/>
          <c:min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3080"/>
        <c:crosses val="autoZero"/>
        <c:crossBetween val="midCat"/>
        <c:minorUnit val="0.5"/>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Travelling!$BL$3</c:f>
              <c:strCache>
                <c:ptCount val="1"/>
                <c:pt idx="0">
                  <c:v>Vector Sum of Moments</c:v>
                </c:pt>
              </c:strCache>
            </c:strRef>
          </c:tx>
          <c:spPr>
            <a:ln w="19050" cap="rnd">
              <a:solidFill>
                <a:schemeClr val="accent1"/>
              </a:solidFill>
              <a:round/>
            </a:ln>
            <a:effectLst/>
          </c:spPr>
          <c:marker>
            <c:symbol val="none"/>
          </c:marker>
          <c:xVal>
            <c:numRef>
              <c:f>Travelling!$AM$6:$AM$30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Travelling!$BL$6:$BL$30</c:f>
              <c:numCache>
                <c:formatCode>#,##0</c:formatCode>
                <c:ptCount val="25"/>
                <c:pt idx="0">
                  <c:v>181.19300032248714</c:v>
                </c:pt>
                <c:pt idx="1">
                  <c:v>181.19300032248714</c:v>
                </c:pt>
                <c:pt idx="2">
                  <c:v>181.19300032248711</c:v>
                </c:pt>
                <c:pt idx="3">
                  <c:v>181.19300032248714</c:v>
                </c:pt>
                <c:pt idx="4">
                  <c:v>181.19300032248711</c:v>
                </c:pt>
                <c:pt idx="5">
                  <c:v>181.19300032248711</c:v>
                </c:pt>
                <c:pt idx="6">
                  <c:v>181.19300032248711</c:v>
                </c:pt>
                <c:pt idx="7">
                  <c:v>181.19300032248714</c:v>
                </c:pt>
                <c:pt idx="8">
                  <c:v>181.19300032248711</c:v>
                </c:pt>
                <c:pt idx="9">
                  <c:v>181.19300032248711</c:v>
                </c:pt>
                <c:pt idx="10">
                  <c:v>181.19300032248711</c:v>
                </c:pt>
                <c:pt idx="11">
                  <c:v>181.19300032248714</c:v>
                </c:pt>
                <c:pt idx="12">
                  <c:v>181.19300032248714</c:v>
                </c:pt>
                <c:pt idx="13">
                  <c:v>181.19300032248714</c:v>
                </c:pt>
                <c:pt idx="14">
                  <c:v>181.19300032248711</c:v>
                </c:pt>
                <c:pt idx="15">
                  <c:v>181.19300032248711</c:v>
                </c:pt>
                <c:pt idx="16">
                  <c:v>181.19300032248711</c:v>
                </c:pt>
                <c:pt idx="17">
                  <c:v>181.19300032248708</c:v>
                </c:pt>
                <c:pt idx="18">
                  <c:v>181.19300032248711</c:v>
                </c:pt>
                <c:pt idx="19">
                  <c:v>181.19300032248714</c:v>
                </c:pt>
                <c:pt idx="20">
                  <c:v>181.19300032248711</c:v>
                </c:pt>
                <c:pt idx="21">
                  <c:v>181.19300032248711</c:v>
                </c:pt>
                <c:pt idx="22">
                  <c:v>181.19300032248711</c:v>
                </c:pt>
                <c:pt idx="23">
                  <c:v>181.19300032248711</c:v>
                </c:pt>
                <c:pt idx="24">
                  <c:v>181.19300032248711</c:v>
                </c:pt>
              </c:numCache>
            </c:numRef>
          </c:yVal>
          <c:smooth val="0"/>
        </c:ser>
        <c:ser>
          <c:idx val="1"/>
          <c:order val="1"/>
          <c:tx>
            <c:v>Fore-aft avge track pressure</c:v>
          </c:tx>
          <c:spPr>
            <a:ln w="19050" cap="rnd">
              <a:solidFill>
                <a:schemeClr val="accent2"/>
              </a:solidFill>
              <a:round/>
            </a:ln>
            <a:effectLst/>
          </c:spPr>
          <c:marker>
            <c:symbol val="none"/>
          </c:marker>
          <c:xVal>
            <c:numRef>
              <c:f>Standing!$AM$6:$AM$29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Standing!$M$6:$M$29</c:f>
            </c:numRef>
          </c:yVal>
          <c:smooth val="0"/>
        </c:ser>
        <c:ser>
          <c:idx val="2"/>
          <c:order val="2"/>
          <c:tx>
            <c:v>Max Track Pressure</c:v>
          </c:tx>
          <c:spPr>
            <a:ln w="19050" cap="rnd">
              <a:solidFill>
                <a:schemeClr val="accent3"/>
              </a:solidFill>
              <a:round/>
            </a:ln>
            <a:effectLst/>
          </c:spPr>
          <c:marker>
            <c:symbol val="none"/>
          </c:marker>
          <c:yVal>
            <c:numLit>
              <c:formatCode>General</c:formatCode>
              <c:ptCount val="1"/>
              <c:pt idx="0">
                <c:v>1</c:v>
              </c:pt>
            </c:numLit>
          </c:yVal>
          <c:smooth val="0"/>
        </c:ser>
        <c:dLbls>
          <c:showLegendKey val="0"/>
          <c:showVal val="0"/>
          <c:showCatName val="0"/>
          <c:showSerName val="0"/>
          <c:showPercent val="0"/>
          <c:showBubbleSize val="0"/>
        </c:dLbls>
        <c:axId val="6823864"/>
        <c:axId val="6825824"/>
      </c:scatterChart>
      <c:valAx>
        <c:axId val="6823864"/>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5824"/>
        <c:crosses val="autoZero"/>
        <c:crossBetween val="midCat"/>
        <c:majorUnit val="45"/>
        <c:minorUnit val="15"/>
      </c:valAx>
      <c:valAx>
        <c:axId val="6825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Vector sum of moments (kNm)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38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Travelling!$AA$2:$AA$4</c:f>
              <c:strCache>
                <c:ptCount val="3"/>
                <c:pt idx="0">
                  <c:v>Force on track</c:v>
                </c:pt>
                <c:pt idx="2">
                  <c:v>PL</c:v>
                </c:pt>
              </c:strCache>
            </c:strRef>
          </c:tx>
          <c:spPr>
            <a:ln w="19050" cap="rnd">
              <a:solidFill>
                <a:schemeClr val="accent1"/>
              </a:solidFill>
              <a:round/>
            </a:ln>
            <a:effectLst/>
          </c:spPr>
          <c:marker>
            <c:symbol val="none"/>
          </c:marker>
          <c:xVal>
            <c:numRef>
              <c:f>Travelling!$AM$6:$AM$30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Travelling!$AA$6:$AA$30</c:f>
              <c:numCache>
                <c:formatCode>0</c:formatCode>
                <c:ptCount val="25"/>
                <c:pt idx="0" formatCode="0.0">
                  <c:v>194.98861363636362</c:v>
                </c:pt>
                <c:pt idx="1">
                  <c:v>180.65646979723837</c:v>
                </c:pt>
                <c:pt idx="2">
                  <c:v>166.8654770061716</c:v>
                </c:pt>
                <c:pt idx="3">
                  <c:v>154.5554686311813</c:v>
                </c:pt>
                <c:pt idx="4">
                  <c:v>144.56535139977237</c:v>
                </c:pt>
                <c:pt idx="5">
                  <c:v>137.57593529181602</c:v>
                </c:pt>
                <c:pt idx="6">
                  <c:v>134.06353746451319</c:v>
                </c:pt>
                <c:pt idx="7">
                  <c:v>134.2675220252828</c:v>
                </c:pt>
                <c:pt idx="8">
                  <c:v>138.17398776340872</c:v>
                </c:pt>
                <c:pt idx="9">
                  <c:v>145.51671549457762</c:v>
                </c:pt>
                <c:pt idx="10">
                  <c:v>155.79531045834156</c:v>
                </c:pt>
                <c:pt idx="11">
                  <c:v>168.30930339410148</c:v>
                </c:pt>
                <c:pt idx="12">
                  <c:v>182.20588636363632</c:v>
                </c:pt>
                <c:pt idx="13">
                  <c:v>196.53803020276158</c:v>
                </c:pt>
                <c:pt idx="14">
                  <c:v>210.32902299382835</c:v>
                </c:pt>
                <c:pt idx="15">
                  <c:v>222.63903136881865</c:v>
                </c:pt>
                <c:pt idx="16">
                  <c:v>232.62914860022758</c:v>
                </c:pt>
                <c:pt idx="17">
                  <c:v>239.61856470818392</c:v>
                </c:pt>
                <c:pt idx="18">
                  <c:v>243.13096253548673</c:v>
                </c:pt>
                <c:pt idx="19">
                  <c:v>242.92697797471712</c:v>
                </c:pt>
                <c:pt idx="20">
                  <c:v>239.02051223659123</c:v>
                </c:pt>
                <c:pt idx="21">
                  <c:v>231.67778450542235</c:v>
                </c:pt>
                <c:pt idx="22">
                  <c:v>221.39918954165836</c:v>
                </c:pt>
                <c:pt idx="23">
                  <c:v>208.8851966058985</c:v>
                </c:pt>
                <c:pt idx="24">
                  <c:v>194.98861363636362</c:v>
                </c:pt>
              </c:numCache>
            </c:numRef>
          </c:yVal>
          <c:smooth val="0"/>
        </c:ser>
        <c:ser>
          <c:idx val="1"/>
          <c:order val="1"/>
          <c:tx>
            <c:strRef>
              <c:f>Travelling!$AG$2:$AG$4</c:f>
              <c:strCache>
                <c:ptCount val="3"/>
                <c:pt idx="0">
                  <c:v>Force on track</c:v>
                </c:pt>
                <c:pt idx="2">
                  <c:v>PR</c:v>
                </c:pt>
              </c:strCache>
            </c:strRef>
          </c:tx>
          <c:spPr>
            <a:ln w="19050" cap="rnd">
              <a:solidFill>
                <a:schemeClr val="accent2"/>
              </a:solidFill>
              <a:round/>
            </a:ln>
            <a:effectLst/>
          </c:spPr>
          <c:marker>
            <c:symbol val="none"/>
          </c:marker>
          <c:xVal>
            <c:numRef>
              <c:f>Travelling!$AM$6:$AM$30</c:f>
              <c:numCache>
                <c:formatCode>0</c:formatCode>
                <c:ptCount val="25"/>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pt idx="24">
                  <c:v>360</c:v>
                </c:pt>
              </c:numCache>
            </c:numRef>
          </c:xVal>
          <c:yVal>
            <c:numRef>
              <c:f>Travelling!$AG$6:$AG$30</c:f>
              <c:numCache>
                <c:formatCode>0</c:formatCode>
                <c:ptCount val="25"/>
                <c:pt idx="0">
                  <c:v>182.20588636363632</c:v>
                </c:pt>
                <c:pt idx="1">
                  <c:v>196.53803020276158</c:v>
                </c:pt>
                <c:pt idx="2">
                  <c:v>210.32902299382835</c:v>
                </c:pt>
                <c:pt idx="3">
                  <c:v>222.63903136881865</c:v>
                </c:pt>
                <c:pt idx="4">
                  <c:v>232.62914860022758</c:v>
                </c:pt>
                <c:pt idx="5">
                  <c:v>239.61856470818392</c:v>
                </c:pt>
                <c:pt idx="6">
                  <c:v>243.13096253548676</c:v>
                </c:pt>
                <c:pt idx="7">
                  <c:v>242.92697797471715</c:v>
                </c:pt>
                <c:pt idx="8">
                  <c:v>239.02051223659123</c:v>
                </c:pt>
                <c:pt idx="9">
                  <c:v>231.67778450542232</c:v>
                </c:pt>
                <c:pt idx="10">
                  <c:v>221.39918954165839</c:v>
                </c:pt>
                <c:pt idx="11">
                  <c:v>208.88519660589847</c:v>
                </c:pt>
                <c:pt idx="12">
                  <c:v>194.98861363636362</c:v>
                </c:pt>
                <c:pt idx="13">
                  <c:v>180.65646979723837</c:v>
                </c:pt>
                <c:pt idx="14">
                  <c:v>166.8654770061716</c:v>
                </c:pt>
                <c:pt idx="15">
                  <c:v>154.5554686311813</c:v>
                </c:pt>
                <c:pt idx="16">
                  <c:v>144.56535139977237</c:v>
                </c:pt>
                <c:pt idx="17">
                  <c:v>137.57593529181602</c:v>
                </c:pt>
                <c:pt idx="18">
                  <c:v>134.06353746451322</c:v>
                </c:pt>
                <c:pt idx="19">
                  <c:v>134.26752202528283</c:v>
                </c:pt>
                <c:pt idx="20">
                  <c:v>138.17398776340872</c:v>
                </c:pt>
                <c:pt idx="21">
                  <c:v>145.5167154945776</c:v>
                </c:pt>
                <c:pt idx="22">
                  <c:v>155.79531045834159</c:v>
                </c:pt>
                <c:pt idx="23">
                  <c:v>168.30930339410145</c:v>
                </c:pt>
                <c:pt idx="24">
                  <c:v>182.20588636363632</c:v>
                </c:pt>
              </c:numCache>
            </c:numRef>
          </c:yVal>
          <c:smooth val="0"/>
        </c:ser>
        <c:dLbls>
          <c:showLegendKey val="0"/>
          <c:showVal val="0"/>
          <c:showCatName val="0"/>
          <c:showSerName val="0"/>
          <c:showPercent val="0"/>
          <c:showBubbleSize val="0"/>
        </c:dLbls>
        <c:axId val="6822688"/>
        <c:axId val="6822296"/>
      </c:scatterChart>
      <c:valAx>
        <c:axId val="6822688"/>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2296"/>
        <c:crosses val="autoZero"/>
        <c:crossBetween val="midCat"/>
        <c:majorUnit val="45"/>
        <c:minorUnit val="15"/>
      </c:valAx>
      <c:valAx>
        <c:axId val="6822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Force on TRack (kN)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2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Travelling!$P$2:$P$5</c:f>
              <c:strCache>
                <c:ptCount val="4"/>
                <c:pt idx="0">
                  <c:v>Max bearing pressure R.H. track (kN/m^2)</c:v>
                </c:pt>
              </c:strCache>
            </c:strRef>
          </c:tx>
          <c:spPr>
            <a:ln w="19050" cap="rnd">
              <a:solidFill>
                <a:schemeClr val="accent1"/>
              </a:solidFill>
              <a:round/>
            </a:ln>
            <a:effectLst/>
          </c:spPr>
          <c:marker>
            <c:symbol val="none"/>
          </c:marker>
          <c:xVal>
            <c:numRef>
              <c:f>Travelling!$L$6:$L$29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Travelling!$P$6:$P$29</c:f>
              <c:numCache>
                <c:formatCode>0</c:formatCode>
                <c:ptCount val="24"/>
                <c:pt idx="0">
                  <c:v>119.47035666616455</c:v>
                </c:pt>
                <c:pt idx="1">
                  <c:v>128.66110940588834</c:v>
                </c:pt>
                <c:pt idx="2">
                  <c:v>133.45352165870506</c:v>
                </c:pt>
                <c:pt idx="3">
                  <c:v>132.83670018040965</c:v>
                </c:pt>
                <c:pt idx="4">
                  <c:v>126.47080609479065</c:v>
                </c:pt>
                <c:pt idx="5">
                  <c:v>114.81253724581609</c:v>
                </c:pt>
                <c:pt idx="6">
                  <c:v>99.077876277579463</c:v>
                </c:pt>
                <c:pt idx="7">
                  <c:v>100.93512004628423</c:v>
                </c:pt>
                <c:pt idx="8">
                  <c:v>116.3050420388039</c:v>
                </c:pt>
                <c:pt idx="9">
                  <c:v>127.43437084710523</c:v>
                </c:pt>
                <c:pt idx="10">
                  <c:v>133.18278686437631</c:v>
                </c:pt>
                <c:pt idx="11">
                  <c:v>133.18141772091727</c:v>
                </c:pt>
                <c:pt idx="12">
                  <c:v>127.85184760982825</c:v>
                </c:pt>
                <c:pt idx="13">
                  <c:v>118.26444887783073</c:v>
                </c:pt>
                <c:pt idx="14">
                  <c:v>105.87595203343243</c:v>
                </c:pt>
                <c:pt idx="15">
                  <c:v>92.214910932631383</c:v>
                </c:pt>
                <c:pt idx="16">
                  <c:v>78.59417719112092</c:v>
                </c:pt>
                <c:pt idx="17">
                  <c:v>65.919108621887744</c:v>
                </c:pt>
                <c:pt idx="18">
                  <c:v>54.631999313147851</c:v>
                </c:pt>
                <c:pt idx="19">
                  <c:v>55.787580971552281</c:v>
                </c:pt>
                <c:pt idx="20">
                  <c:v>67.234110182081054</c:v>
                </c:pt>
                <c:pt idx="21">
                  <c:v>80.041472799713716</c:v>
                </c:pt>
                <c:pt idx="22">
                  <c:v>93.718742467837643</c:v>
                </c:pt>
                <c:pt idx="23">
                  <c:v>107.31096317915643</c:v>
                </c:pt>
              </c:numCache>
            </c:numRef>
          </c:yVal>
          <c:smooth val="0"/>
        </c:ser>
        <c:ser>
          <c:idx val="1"/>
          <c:order val="1"/>
          <c:tx>
            <c:strRef>
              <c:f>Travelling!$N$2:$N$5</c:f>
              <c:strCache>
                <c:ptCount val="4"/>
                <c:pt idx="0">
                  <c:v>Max bearing pressure L.H. track (kN/m^2)</c:v>
                </c:pt>
              </c:strCache>
            </c:strRef>
          </c:tx>
          <c:spPr>
            <a:ln w="19050" cap="rnd">
              <a:solidFill>
                <a:schemeClr val="accent2"/>
              </a:solidFill>
              <a:round/>
            </a:ln>
            <a:effectLst/>
          </c:spPr>
          <c:marker>
            <c:symbol val="none"/>
          </c:marker>
          <c:xVal>
            <c:numRef>
              <c:f>Travelling!$L$6:$L$29</c:f>
              <c:numCache>
                <c:formatCode>0</c:formatCod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numCache>
            </c:numRef>
          </c:xVal>
          <c:yVal>
            <c:numRef>
              <c:f>Travelling!$N$6:$N$29</c:f>
              <c:numCache>
                <c:formatCode>0</c:formatCode>
                <c:ptCount val="24"/>
                <c:pt idx="0">
                  <c:v>127.85184760982825</c:v>
                </c:pt>
                <c:pt idx="1">
                  <c:v>118.26444887783073</c:v>
                </c:pt>
                <c:pt idx="2">
                  <c:v>105.8759520334324</c:v>
                </c:pt>
                <c:pt idx="3">
                  <c:v>92.214910932631383</c:v>
                </c:pt>
                <c:pt idx="4">
                  <c:v>78.594177191120906</c:v>
                </c:pt>
                <c:pt idx="5">
                  <c:v>65.919108621887744</c:v>
                </c:pt>
                <c:pt idx="6">
                  <c:v>54.631999313147816</c:v>
                </c:pt>
                <c:pt idx="7">
                  <c:v>55.787580971552281</c:v>
                </c:pt>
                <c:pt idx="8">
                  <c:v>67.234110182081068</c:v>
                </c:pt>
                <c:pt idx="9">
                  <c:v>80.041472799713745</c:v>
                </c:pt>
                <c:pt idx="10">
                  <c:v>93.7187424678376</c:v>
                </c:pt>
                <c:pt idx="11">
                  <c:v>107.31096317915645</c:v>
                </c:pt>
                <c:pt idx="12">
                  <c:v>119.47035666616455</c:v>
                </c:pt>
                <c:pt idx="13">
                  <c:v>128.66110940588834</c:v>
                </c:pt>
                <c:pt idx="14">
                  <c:v>133.45352165870503</c:v>
                </c:pt>
                <c:pt idx="15">
                  <c:v>132.83670018040962</c:v>
                </c:pt>
                <c:pt idx="16">
                  <c:v>126.47080609479067</c:v>
                </c:pt>
                <c:pt idx="17">
                  <c:v>114.8125372458161</c:v>
                </c:pt>
                <c:pt idx="18">
                  <c:v>99.07787627757952</c:v>
                </c:pt>
                <c:pt idx="19">
                  <c:v>100.93512004628423</c:v>
                </c:pt>
                <c:pt idx="20">
                  <c:v>116.30504203880389</c:v>
                </c:pt>
                <c:pt idx="21">
                  <c:v>127.43437084710519</c:v>
                </c:pt>
                <c:pt idx="22">
                  <c:v>133.18278686437634</c:v>
                </c:pt>
                <c:pt idx="23">
                  <c:v>133.18141772091727</c:v>
                </c:pt>
              </c:numCache>
            </c:numRef>
          </c:yVal>
          <c:smooth val="0"/>
        </c:ser>
        <c:dLbls>
          <c:showLegendKey val="0"/>
          <c:showVal val="0"/>
          <c:showCatName val="0"/>
          <c:showSerName val="0"/>
          <c:showPercent val="0"/>
          <c:showBubbleSize val="0"/>
        </c:dLbls>
        <c:axId val="446908984"/>
        <c:axId val="446907024"/>
      </c:scatterChart>
      <c:valAx>
        <c:axId val="446908984"/>
        <c:scaling>
          <c:orientation val="minMax"/>
          <c:max val="36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Slew Angle </a:t>
                </a:r>
                <a:r>
                  <a:rPr lang="en-US" baseline="0">
                    <a:latin typeface="Symbol" panose="05050102010706020507" pitchFamily="18" charset="2"/>
                  </a:rPr>
                  <a:t>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907024"/>
        <c:crosses val="autoZero"/>
        <c:crossBetween val="midCat"/>
        <c:majorUnit val="45"/>
        <c:minorUnit val="15"/>
      </c:valAx>
      <c:valAx>
        <c:axId val="446907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Max Track Pressures (kPa)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908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image" Target="../media/image1.jpe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image" Target="../media/image2.png"/><Relationship Id="rId2" Type="http://schemas.openxmlformats.org/officeDocument/2006/relationships/chart" Target="../charts/chart11.xml"/><Relationship Id="rId1" Type="http://schemas.openxmlformats.org/officeDocument/2006/relationships/image" Target="../media/image1.jpeg"/><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image" Target="../media/image1.jpeg"/><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7" Type="http://schemas.openxmlformats.org/officeDocument/2006/relationships/image" Target="../media/image2.png"/><Relationship Id="rId2" Type="http://schemas.openxmlformats.org/officeDocument/2006/relationships/chart" Target="../charts/chart21.xml"/><Relationship Id="rId1" Type="http://schemas.openxmlformats.org/officeDocument/2006/relationships/image" Target="../media/image1.jpeg"/><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image" Target="../media/image1.jpeg"/><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2362761</xdr:colOff>
      <xdr:row>70</xdr:row>
      <xdr:rowOff>11206</xdr:rowOff>
    </xdr:from>
    <xdr:to>
      <xdr:col>4</xdr:col>
      <xdr:colOff>134419</xdr:colOff>
      <xdr:row>78</xdr:row>
      <xdr:rowOff>212912</xdr:rowOff>
    </xdr:to>
    <xdr:pic>
      <xdr:nvPicPr>
        <xdr:cNvPr id="3092" name="Picture 3" descr="FP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2879" y="16797618"/>
          <a:ext cx="2164364" cy="1893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476250</xdr:colOff>
      <xdr:row>42</xdr:row>
      <xdr:rowOff>21611</xdr:rowOff>
    </xdr:from>
    <xdr:to>
      <xdr:col>20</xdr:col>
      <xdr:colOff>661946</xdr:colOff>
      <xdr:row>53</xdr:row>
      <xdr:rowOff>4527</xdr:rowOff>
    </xdr:to>
    <xdr:pic>
      <xdr:nvPicPr>
        <xdr:cNvPr id="12370" name="Picture 5" descr="FP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98536" y="10295004"/>
          <a:ext cx="2267589" cy="2228094"/>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400051</xdr:colOff>
      <xdr:row>34</xdr:row>
      <xdr:rowOff>148317</xdr:rowOff>
    </xdr:from>
    <xdr:to>
      <xdr:col>53</xdr:col>
      <xdr:colOff>834119</xdr:colOff>
      <xdr:row>57</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325769</xdr:colOff>
      <xdr:row>34</xdr:row>
      <xdr:rowOff>128867</xdr:rowOff>
    </xdr:from>
    <xdr:to>
      <xdr:col>63</xdr:col>
      <xdr:colOff>381800</xdr:colOff>
      <xdr:row>52</xdr:row>
      <xdr:rowOff>39221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328252</xdr:colOff>
      <xdr:row>53</xdr:row>
      <xdr:rowOff>21531</xdr:rowOff>
    </xdr:from>
    <xdr:to>
      <xdr:col>63</xdr:col>
      <xdr:colOff>390525</xdr:colOff>
      <xdr:row>73</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63</xdr:col>
      <xdr:colOff>648075</xdr:colOff>
      <xdr:row>34</xdr:row>
      <xdr:rowOff>133865</xdr:rowOff>
    </xdr:from>
    <xdr:to>
      <xdr:col>72</xdr:col>
      <xdr:colOff>589806</xdr:colOff>
      <xdr:row>52</xdr:row>
      <xdr:rowOff>157900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63</xdr:col>
      <xdr:colOff>628650</xdr:colOff>
      <xdr:row>53</xdr:row>
      <xdr:rowOff>9525</xdr:rowOff>
    </xdr:from>
    <xdr:to>
      <xdr:col>72</xdr:col>
      <xdr:colOff>571500</xdr:colOff>
      <xdr:row>73</xdr:row>
      <xdr:rowOff>66675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204107</xdr:colOff>
      <xdr:row>0</xdr:row>
      <xdr:rowOff>0</xdr:rowOff>
    </xdr:from>
    <xdr:to>
      <xdr:col>10</xdr:col>
      <xdr:colOff>145759</xdr:colOff>
      <xdr:row>8</xdr:row>
      <xdr:rowOff>149679</xdr:rowOff>
    </xdr:to>
    <xdr:pic>
      <xdr:nvPicPr>
        <xdr:cNvPr id="4" name="Picture 3"/>
        <xdr:cNvPicPr>
          <a:picLocks noChangeAspect="1"/>
        </xdr:cNvPicPr>
      </xdr:nvPicPr>
      <xdr:blipFill>
        <a:blip xmlns:r="http://schemas.openxmlformats.org/officeDocument/2006/relationships" r:embed="rId7"/>
        <a:stretch>
          <a:fillRect/>
        </a:stretch>
      </xdr:blipFill>
      <xdr:spPr>
        <a:xfrm>
          <a:off x="7701643" y="0"/>
          <a:ext cx="1574509" cy="2911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476250</xdr:colOff>
      <xdr:row>42</xdr:row>
      <xdr:rowOff>21611</xdr:rowOff>
    </xdr:from>
    <xdr:to>
      <xdr:col>20</xdr:col>
      <xdr:colOff>661946</xdr:colOff>
      <xdr:row>53</xdr:row>
      <xdr:rowOff>4527</xdr:rowOff>
    </xdr:to>
    <xdr:pic>
      <xdr:nvPicPr>
        <xdr:cNvPr id="5" name="Picture 5" descr="FP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0" y="10308611"/>
          <a:ext cx="2271671" cy="218319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400051</xdr:colOff>
      <xdr:row>34</xdr:row>
      <xdr:rowOff>148317</xdr:rowOff>
    </xdr:from>
    <xdr:to>
      <xdr:col>53</xdr:col>
      <xdr:colOff>834119</xdr:colOff>
      <xdr:row>57</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325769</xdr:colOff>
      <xdr:row>34</xdr:row>
      <xdr:rowOff>128867</xdr:rowOff>
    </xdr:from>
    <xdr:to>
      <xdr:col>63</xdr:col>
      <xdr:colOff>381800</xdr:colOff>
      <xdr:row>52</xdr:row>
      <xdr:rowOff>39221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328252</xdr:colOff>
      <xdr:row>53</xdr:row>
      <xdr:rowOff>21531</xdr:rowOff>
    </xdr:from>
    <xdr:to>
      <xdr:col>63</xdr:col>
      <xdr:colOff>390525</xdr:colOff>
      <xdr:row>73</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63</xdr:col>
      <xdr:colOff>648075</xdr:colOff>
      <xdr:row>34</xdr:row>
      <xdr:rowOff>133865</xdr:rowOff>
    </xdr:from>
    <xdr:to>
      <xdr:col>72</xdr:col>
      <xdr:colOff>589806</xdr:colOff>
      <xdr:row>52</xdr:row>
      <xdr:rowOff>157900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63</xdr:col>
      <xdr:colOff>628650</xdr:colOff>
      <xdr:row>53</xdr:row>
      <xdr:rowOff>9525</xdr:rowOff>
    </xdr:from>
    <xdr:to>
      <xdr:col>72</xdr:col>
      <xdr:colOff>571500</xdr:colOff>
      <xdr:row>73</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204107</xdr:colOff>
      <xdr:row>0</xdr:row>
      <xdr:rowOff>0</xdr:rowOff>
    </xdr:from>
    <xdr:to>
      <xdr:col>10</xdr:col>
      <xdr:colOff>145759</xdr:colOff>
      <xdr:row>8</xdr:row>
      <xdr:rowOff>149679</xdr:rowOff>
    </xdr:to>
    <xdr:pic>
      <xdr:nvPicPr>
        <xdr:cNvPr id="11" name="Picture 10"/>
        <xdr:cNvPicPr>
          <a:picLocks noChangeAspect="1"/>
        </xdr:cNvPicPr>
      </xdr:nvPicPr>
      <xdr:blipFill>
        <a:blip xmlns:r="http://schemas.openxmlformats.org/officeDocument/2006/relationships" r:embed="rId7"/>
        <a:stretch>
          <a:fillRect/>
        </a:stretch>
      </xdr:blipFill>
      <xdr:spPr>
        <a:xfrm>
          <a:off x="7652657" y="0"/>
          <a:ext cx="1560902" cy="29309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476250</xdr:colOff>
      <xdr:row>42</xdr:row>
      <xdr:rowOff>21611</xdr:rowOff>
    </xdr:from>
    <xdr:to>
      <xdr:col>20</xdr:col>
      <xdr:colOff>661946</xdr:colOff>
      <xdr:row>53</xdr:row>
      <xdr:rowOff>4527</xdr:rowOff>
    </xdr:to>
    <xdr:pic>
      <xdr:nvPicPr>
        <xdr:cNvPr id="5" name="Picture 5" descr="FP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0" y="10308611"/>
          <a:ext cx="2271671" cy="218319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400051</xdr:colOff>
      <xdr:row>34</xdr:row>
      <xdr:rowOff>148317</xdr:rowOff>
    </xdr:from>
    <xdr:to>
      <xdr:col>53</xdr:col>
      <xdr:colOff>834119</xdr:colOff>
      <xdr:row>57</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325769</xdr:colOff>
      <xdr:row>34</xdr:row>
      <xdr:rowOff>128867</xdr:rowOff>
    </xdr:from>
    <xdr:to>
      <xdr:col>63</xdr:col>
      <xdr:colOff>381800</xdr:colOff>
      <xdr:row>52</xdr:row>
      <xdr:rowOff>39221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328252</xdr:colOff>
      <xdr:row>53</xdr:row>
      <xdr:rowOff>21531</xdr:rowOff>
    </xdr:from>
    <xdr:to>
      <xdr:col>63</xdr:col>
      <xdr:colOff>390525</xdr:colOff>
      <xdr:row>73</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63</xdr:col>
      <xdr:colOff>648075</xdr:colOff>
      <xdr:row>34</xdr:row>
      <xdr:rowOff>133865</xdr:rowOff>
    </xdr:from>
    <xdr:to>
      <xdr:col>72</xdr:col>
      <xdr:colOff>589806</xdr:colOff>
      <xdr:row>52</xdr:row>
      <xdr:rowOff>157900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63</xdr:col>
      <xdr:colOff>628650</xdr:colOff>
      <xdr:row>53</xdr:row>
      <xdr:rowOff>9525</xdr:rowOff>
    </xdr:from>
    <xdr:to>
      <xdr:col>72</xdr:col>
      <xdr:colOff>571500</xdr:colOff>
      <xdr:row>73</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204107</xdr:colOff>
      <xdr:row>0</xdr:row>
      <xdr:rowOff>0</xdr:rowOff>
    </xdr:from>
    <xdr:to>
      <xdr:col>10</xdr:col>
      <xdr:colOff>145759</xdr:colOff>
      <xdr:row>8</xdr:row>
      <xdr:rowOff>149679</xdr:rowOff>
    </xdr:to>
    <xdr:pic>
      <xdr:nvPicPr>
        <xdr:cNvPr id="11" name="Picture 10"/>
        <xdr:cNvPicPr>
          <a:picLocks noChangeAspect="1"/>
        </xdr:cNvPicPr>
      </xdr:nvPicPr>
      <xdr:blipFill>
        <a:blip xmlns:r="http://schemas.openxmlformats.org/officeDocument/2006/relationships" r:embed="rId7"/>
        <a:stretch>
          <a:fillRect/>
        </a:stretch>
      </xdr:blipFill>
      <xdr:spPr>
        <a:xfrm>
          <a:off x="7652657" y="0"/>
          <a:ext cx="1560902" cy="29309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476250</xdr:colOff>
      <xdr:row>42</xdr:row>
      <xdr:rowOff>21611</xdr:rowOff>
    </xdr:from>
    <xdr:to>
      <xdr:col>20</xdr:col>
      <xdr:colOff>661946</xdr:colOff>
      <xdr:row>53</xdr:row>
      <xdr:rowOff>4527</xdr:rowOff>
    </xdr:to>
    <xdr:pic>
      <xdr:nvPicPr>
        <xdr:cNvPr id="5" name="Picture 5" descr="FP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0" y="10308611"/>
          <a:ext cx="2271671" cy="218319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400051</xdr:colOff>
      <xdr:row>34</xdr:row>
      <xdr:rowOff>148317</xdr:rowOff>
    </xdr:from>
    <xdr:to>
      <xdr:col>53</xdr:col>
      <xdr:colOff>834119</xdr:colOff>
      <xdr:row>57</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325769</xdr:colOff>
      <xdr:row>34</xdr:row>
      <xdr:rowOff>128867</xdr:rowOff>
    </xdr:from>
    <xdr:to>
      <xdr:col>63</xdr:col>
      <xdr:colOff>381800</xdr:colOff>
      <xdr:row>52</xdr:row>
      <xdr:rowOff>39221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328252</xdr:colOff>
      <xdr:row>53</xdr:row>
      <xdr:rowOff>21531</xdr:rowOff>
    </xdr:from>
    <xdr:to>
      <xdr:col>63</xdr:col>
      <xdr:colOff>390525</xdr:colOff>
      <xdr:row>73</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63</xdr:col>
      <xdr:colOff>648075</xdr:colOff>
      <xdr:row>34</xdr:row>
      <xdr:rowOff>133865</xdr:rowOff>
    </xdr:from>
    <xdr:to>
      <xdr:col>72</xdr:col>
      <xdr:colOff>589806</xdr:colOff>
      <xdr:row>52</xdr:row>
      <xdr:rowOff>157900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63</xdr:col>
      <xdr:colOff>628650</xdr:colOff>
      <xdr:row>53</xdr:row>
      <xdr:rowOff>9525</xdr:rowOff>
    </xdr:from>
    <xdr:to>
      <xdr:col>72</xdr:col>
      <xdr:colOff>571500</xdr:colOff>
      <xdr:row>73</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204107</xdr:colOff>
      <xdr:row>0</xdr:row>
      <xdr:rowOff>0</xdr:rowOff>
    </xdr:from>
    <xdr:to>
      <xdr:col>10</xdr:col>
      <xdr:colOff>145759</xdr:colOff>
      <xdr:row>8</xdr:row>
      <xdr:rowOff>149679</xdr:rowOff>
    </xdr:to>
    <xdr:pic>
      <xdr:nvPicPr>
        <xdr:cNvPr id="11" name="Picture 10"/>
        <xdr:cNvPicPr>
          <a:picLocks noChangeAspect="1"/>
        </xdr:cNvPicPr>
      </xdr:nvPicPr>
      <xdr:blipFill>
        <a:blip xmlns:r="http://schemas.openxmlformats.org/officeDocument/2006/relationships" r:embed="rId7"/>
        <a:stretch>
          <a:fillRect/>
        </a:stretch>
      </xdr:blipFill>
      <xdr:spPr>
        <a:xfrm>
          <a:off x="7652657" y="0"/>
          <a:ext cx="1560902" cy="29309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476250</xdr:colOff>
      <xdr:row>42</xdr:row>
      <xdr:rowOff>21611</xdr:rowOff>
    </xdr:from>
    <xdr:to>
      <xdr:col>20</xdr:col>
      <xdr:colOff>661946</xdr:colOff>
      <xdr:row>53</xdr:row>
      <xdr:rowOff>4527</xdr:rowOff>
    </xdr:to>
    <xdr:pic>
      <xdr:nvPicPr>
        <xdr:cNvPr id="5" name="Picture 5" descr="FP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0" y="10308611"/>
          <a:ext cx="2271671" cy="218319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400051</xdr:colOff>
      <xdr:row>34</xdr:row>
      <xdr:rowOff>148317</xdr:rowOff>
    </xdr:from>
    <xdr:to>
      <xdr:col>53</xdr:col>
      <xdr:colOff>834119</xdr:colOff>
      <xdr:row>57</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325769</xdr:colOff>
      <xdr:row>34</xdr:row>
      <xdr:rowOff>128867</xdr:rowOff>
    </xdr:from>
    <xdr:to>
      <xdr:col>63</xdr:col>
      <xdr:colOff>381800</xdr:colOff>
      <xdr:row>52</xdr:row>
      <xdr:rowOff>39221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328252</xdr:colOff>
      <xdr:row>53</xdr:row>
      <xdr:rowOff>21531</xdr:rowOff>
    </xdr:from>
    <xdr:to>
      <xdr:col>63</xdr:col>
      <xdr:colOff>390525</xdr:colOff>
      <xdr:row>73</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63</xdr:col>
      <xdr:colOff>648075</xdr:colOff>
      <xdr:row>34</xdr:row>
      <xdr:rowOff>133865</xdr:rowOff>
    </xdr:from>
    <xdr:to>
      <xdr:col>72</xdr:col>
      <xdr:colOff>589806</xdr:colOff>
      <xdr:row>52</xdr:row>
      <xdr:rowOff>157900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63</xdr:col>
      <xdr:colOff>628650</xdr:colOff>
      <xdr:row>53</xdr:row>
      <xdr:rowOff>9525</xdr:rowOff>
    </xdr:from>
    <xdr:to>
      <xdr:col>72</xdr:col>
      <xdr:colOff>571500</xdr:colOff>
      <xdr:row>73</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204107</xdr:colOff>
      <xdr:row>0</xdr:row>
      <xdr:rowOff>0</xdr:rowOff>
    </xdr:from>
    <xdr:to>
      <xdr:col>10</xdr:col>
      <xdr:colOff>145759</xdr:colOff>
      <xdr:row>8</xdr:row>
      <xdr:rowOff>149679</xdr:rowOff>
    </xdr:to>
    <xdr:pic>
      <xdr:nvPicPr>
        <xdr:cNvPr id="11" name="Picture 10"/>
        <xdr:cNvPicPr>
          <a:picLocks noChangeAspect="1"/>
        </xdr:cNvPicPr>
      </xdr:nvPicPr>
      <xdr:blipFill>
        <a:blip xmlns:r="http://schemas.openxmlformats.org/officeDocument/2006/relationships" r:embed="rId7"/>
        <a:stretch>
          <a:fillRect/>
        </a:stretch>
      </xdr:blipFill>
      <xdr:spPr>
        <a:xfrm>
          <a:off x="7652657" y="0"/>
          <a:ext cx="1560902" cy="29309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476250</xdr:colOff>
      <xdr:row>42</xdr:row>
      <xdr:rowOff>21611</xdr:rowOff>
    </xdr:from>
    <xdr:to>
      <xdr:col>20</xdr:col>
      <xdr:colOff>661946</xdr:colOff>
      <xdr:row>53</xdr:row>
      <xdr:rowOff>4527</xdr:rowOff>
    </xdr:to>
    <xdr:pic>
      <xdr:nvPicPr>
        <xdr:cNvPr id="5" name="Picture 5" descr="FP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0" y="10308611"/>
          <a:ext cx="2271671" cy="218319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400051</xdr:colOff>
      <xdr:row>34</xdr:row>
      <xdr:rowOff>148317</xdr:rowOff>
    </xdr:from>
    <xdr:to>
      <xdr:col>53</xdr:col>
      <xdr:colOff>834119</xdr:colOff>
      <xdr:row>57</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325769</xdr:colOff>
      <xdr:row>34</xdr:row>
      <xdr:rowOff>128867</xdr:rowOff>
    </xdr:from>
    <xdr:to>
      <xdr:col>63</xdr:col>
      <xdr:colOff>381800</xdr:colOff>
      <xdr:row>52</xdr:row>
      <xdr:rowOff>39221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328252</xdr:colOff>
      <xdr:row>53</xdr:row>
      <xdr:rowOff>21531</xdr:rowOff>
    </xdr:from>
    <xdr:to>
      <xdr:col>63</xdr:col>
      <xdr:colOff>390525</xdr:colOff>
      <xdr:row>73</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63</xdr:col>
      <xdr:colOff>648075</xdr:colOff>
      <xdr:row>34</xdr:row>
      <xdr:rowOff>133865</xdr:rowOff>
    </xdr:from>
    <xdr:to>
      <xdr:col>72</xdr:col>
      <xdr:colOff>589806</xdr:colOff>
      <xdr:row>52</xdr:row>
      <xdr:rowOff>157900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63</xdr:col>
      <xdr:colOff>628650</xdr:colOff>
      <xdr:row>53</xdr:row>
      <xdr:rowOff>9525</xdr:rowOff>
    </xdr:from>
    <xdr:to>
      <xdr:col>72</xdr:col>
      <xdr:colOff>571500</xdr:colOff>
      <xdr:row>73</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204107</xdr:colOff>
      <xdr:row>0</xdr:row>
      <xdr:rowOff>0</xdr:rowOff>
    </xdr:from>
    <xdr:to>
      <xdr:col>10</xdr:col>
      <xdr:colOff>145759</xdr:colOff>
      <xdr:row>8</xdr:row>
      <xdr:rowOff>149679</xdr:rowOff>
    </xdr:to>
    <xdr:pic>
      <xdr:nvPicPr>
        <xdr:cNvPr id="11" name="Picture 10"/>
        <xdr:cNvPicPr>
          <a:picLocks noChangeAspect="1"/>
        </xdr:cNvPicPr>
      </xdr:nvPicPr>
      <xdr:blipFill>
        <a:blip xmlns:r="http://schemas.openxmlformats.org/officeDocument/2006/relationships" r:embed="rId7"/>
        <a:stretch>
          <a:fillRect/>
        </a:stretch>
      </xdr:blipFill>
      <xdr:spPr>
        <a:xfrm>
          <a:off x="7652657" y="0"/>
          <a:ext cx="1560902" cy="29309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5952</xdr:colOff>
      <xdr:row>75</xdr:row>
      <xdr:rowOff>5953</xdr:rowOff>
    </xdr:from>
    <xdr:to>
      <xdr:col>4</xdr:col>
      <xdr:colOff>0</xdr:colOff>
      <xdr:row>81</xdr:row>
      <xdr:rowOff>434</xdr:rowOff>
    </xdr:to>
    <xdr:pic>
      <xdr:nvPicPr>
        <xdr:cNvPr id="2" name="Picture 3" descr="FP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2202" y="22758797"/>
          <a:ext cx="1803798" cy="1264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19" sqref="C19"/>
    </sheetView>
  </sheetViews>
  <sheetFormatPr defaultRowHeight="14.25" x14ac:dyDescent="0.2"/>
  <cols>
    <col min="1" max="1" width="56.375" customWidth="1"/>
  </cols>
  <sheetData>
    <row r="1" spans="1:1" x14ac:dyDescent="0.2">
      <c r="A1" s="32" t="s">
        <v>58</v>
      </c>
    </row>
    <row r="2" spans="1:1" x14ac:dyDescent="0.2">
      <c r="A2" s="33" t="s">
        <v>59</v>
      </c>
    </row>
    <row r="3" spans="1:1" x14ac:dyDescent="0.2">
      <c r="A3" s="34" t="s">
        <v>60</v>
      </c>
    </row>
    <row r="4" spans="1:1" ht="15.75" x14ac:dyDescent="0.25">
      <c r="A4" s="35"/>
    </row>
    <row r="5" spans="1:1" ht="72" customHeight="1" x14ac:dyDescent="0.2">
      <c r="A5" s="36" t="s">
        <v>65</v>
      </c>
    </row>
    <row r="6" spans="1:1" ht="71.25" customHeight="1" x14ac:dyDescent="0.2">
      <c r="A6" s="37" t="s">
        <v>242</v>
      </c>
    </row>
    <row r="7" spans="1:1" ht="73.5" customHeight="1" x14ac:dyDescent="0.2">
      <c r="A7" s="37" t="s">
        <v>61</v>
      </c>
    </row>
    <row r="8" spans="1:1" ht="76.5" x14ac:dyDescent="0.2">
      <c r="A8" s="37" t="s">
        <v>62</v>
      </c>
    </row>
    <row r="9" spans="1:1" x14ac:dyDescent="0.2">
      <c r="A9" s="38"/>
    </row>
    <row r="10" spans="1:1" ht="15" thickBot="1" x14ac:dyDescent="0.25">
      <c r="A10" s="39" t="s">
        <v>63</v>
      </c>
    </row>
  </sheetData>
  <sheetProtection sheet="1" objects="1" scenarios="1"/>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8"/>
  <sheetViews>
    <sheetView zoomScale="70" zoomScaleNormal="70" workbookViewId="0">
      <selection activeCell="O5" sqref="O5"/>
    </sheetView>
  </sheetViews>
  <sheetFormatPr defaultRowHeight="14.25" x14ac:dyDescent="0.2"/>
  <cols>
    <col min="1" max="2" width="32.875" style="25" customWidth="1"/>
    <col min="3" max="4" width="12.375" style="25" customWidth="1"/>
    <col min="5" max="6" width="16.75" style="25" customWidth="1"/>
    <col min="7" max="8" width="17.875" style="25" customWidth="1"/>
    <col min="9" max="9" width="27.125" style="25" customWidth="1"/>
    <col min="10" max="16384" width="9" style="25"/>
  </cols>
  <sheetData>
    <row r="1" spans="1:8" ht="30" customHeight="1" thickTop="1" x14ac:dyDescent="0.2">
      <c r="A1" s="737" t="s">
        <v>43</v>
      </c>
      <c r="B1" s="738"/>
      <c r="C1" s="738"/>
      <c r="D1" s="738"/>
      <c r="E1" s="738"/>
      <c r="F1" s="738"/>
      <c r="G1" s="738"/>
      <c r="H1" s="739"/>
    </row>
    <row r="2" spans="1:8" ht="36" customHeight="1" thickBot="1" x14ac:dyDescent="0.25">
      <c r="A2" s="740"/>
      <c r="B2" s="741"/>
      <c r="C2" s="741"/>
      <c r="D2" s="741"/>
      <c r="E2" s="741"/>
      <c r="F2" s="741"/>
      <c r="G2" s="741"/>
      <c r="H2" s="742"/>
    </row>
    <row r="3" spans="1:8" ht="25.5" customHeight="1" thickTop="1" thickBot="1" x14ac:dyDescent="0.25">
      <c r="A3" s="750" t="s">
        <v>64</v>
      </c>
      <c r="B3" s="750"/>
      <c r="C3" s="750"/>
      <c r="D3" s="750"/>
      <c r="E3" s="750"/>
      <c r="F3" s="750"/>
      <c r="G3" s="750"/>
      <c r="H3" s="750"/>
    </row>
    <row r="4" spans="1:8" ht="21" customHeight="1" thickTop="1" x14ac:dyDescent="0.25">
      <c r="A4" s="690" t="s">
        <v>16</v>
      </c>
      <c r="B4" s="691"/>
      <c r="C4" s="751" t="s">
        <v>238</v>
      </c>
      <c r="D4" s="751"/>
      <c r="E4" s="751"/>
      <c r="F4" s="637" t="s">
        <v>243</v>
      </c>
      <c r="G4" s="638" t="s">
        <v>239</v>
      </c>
      <c r="H4" s="639" t="s">
        <v>244</v>
      </c>
    </row>
    <row r="5" spans="1:8" ht="18" customHeight="1" x14ac:dyDescent="0.25">
      <c r="A5" s="695" t="s">
        <v>20</v>
      </c>
      <c r="B5" s="696"/>
      <c r="C5" s="699" t="s">
        <v>219</v>
      </c>
      <c r="D5" s="699"/>
      <c r="E5" s="699"/>
      <c r="F5" s="160" t="s">
        <v>71</v>
      </c>
      <c r="G5" s="767">
        <f ca="1">+NOW()</f>
        <v>42530.744016898148</v>
      </c>
      <c r="H5" s="768"/>
    </row>
    <row r="6" spans="1:8" ht="23.25" customHeight="1" thickBot="1" x14ac:dyDescent="0.3">
      <c r="A6" s="697" t="s">
        <v>56</v>
      </c>
      <c r="B6" s="698"/>
      <c r="C6" s="694" t="s">
        <v>206</v>
      </c>
      <c r="D6" s="694"/>
      <c r="E6" s="694"/>
      <c r="F6" s="165" t="s">
        <v>55</v>
      </c>
      <c r="G6" s="769" t="s">
        <v>206</v>
      </c>
      <c r="H6" s="770"/>
    </row>
    <row r="7" spans="1:8" ht="18" customHeight="1" thickTop="1" thickBot="1" x14ac:dyDescent="0.3">
      <c r="A7" s="161"/>
      <c r="B7" s="161"/>
      <c r="C7" s="162"/>
      <c r="D7" s="162"/>
      <c r="E7" s="162"/>
      <c r="F7" s="163"/>
      <c r="G7" s="164"/>
      <c r="H7" s="164"/>
    </row>
    <row r="8" spans="1:8" ht="21" customHeight="1" thickTop="1" thickBot="1" x14ac:dyDescent="0.3">
      <c r="A8" s="277" t="s">
        <v>149</v>
      </c>
      <c r="B8" s="278"/>
      <c r="C8" s="278"/>
      <c r="D8" s="278"/>
      <c r="E8" s="278"/>
      <c r="F8" s="278"/>
      <c r="G8" s="278"/>
      <c r="H8" s="279"/>
    </row>
    <row r="9" spans="1:8" s="40" customFormat="1" ht="36" customHeight="1" thickBot="1" x14ac:dyDescent="0.25">
      <c r="A9" s="692" t="s">
        <v>17</v>
      </c>
      <c r="B9" s="693"/>
      <c r="C9" s="280" t="s">
        <v>0</v>
      </c>
      <c r="D9" s="280" t="s">
        <v>66</v>
      </c>
      <c r="E9" s="280" t="s">
        <v>67</v>
      </c>
      <c r="F9" s="280" t="s">
        <v>68</v>
      </c>
      <c r="G9" s="280" t="s">
        <v>69</v>
      </c>
      <c r="H9" s="281" t="s">
        <v>70</v>
      </c>
    </row>
    <row r="10" spans="1:8" ht="15.95" customHeight="1" x14ac:dyDescent="0.2">
      <c r="A10" s="723" t="s">
        <v>82</v>
      </c>
      <c r="B10" s="282" t="s">
        <v>52</v>
      </c>
      <c r="C10" s="283">
        <v>5600</v>
      </c>
      <c r="D10" s="284">
        <f>+IF(C10*9.81&gt;0,C10*9.81/1000,)</f>
        <v>54.936</v>
      </c>
      <c r="E10" s="285">
        <v>0</v>
      </c>
      <c r="F10" s="285">
        <v>2.74</v>
      </c>
      <c r="G10" s="286">
        <f>+F10*D10*-1</f>
        <v>-150.52464000000001</v>
      </c>
      <c r="H10" s="287">
        <f>+E10*D10</f>
        <v>0</v>
      </c>
    </row>
    <row r="11" spans="1:8" ht="15.95" customHeight="1" x14ac:dyDescent="0.2">
      <c r="A11" s="724"/>
      <c r="B11" s="288"/>
      <c r="C11" s="289"/>
      <c r="D11" s="290">
        <f t="shared" ref="D11:D31" si="0">+IF(C11*9.81&gt;0,C11*9.81/1000,)</f>
        <v>0</v>
      </c>
      <c r="E11" s="291"/>
      <c r="F11" s="291"/>
      <c r="G11" s="292">
        <f t="shared" ref="G11:G31" si="1">+F11*D11*-1</f>
        <v>0</v>
      </c>
      <c r="H11" s="293">
        <f t="shared" ref="H11:H31" si="2">+E11*D11</f>
        <v>0</v>
      </c>
    </row>
    <row r="12" spans="1:8" ht="15.95" customHeight="1" x14ac:dyDescent="0.2">
      <c r="A12" s="724"/>
      <c r="B12" s="288"/>
      <c r="C12" s="289"/>
      <c r="D12" s="290">
        <f t="shared" si="0"/>
        <v>0</v>
      </c>
      <c r="E12" s="291"/>
      <c r="F12" s="291"/>
      <c r="G12" s="292">
        <f t="shared" si="1"/>
        <v>0</v>
      </c>
      <c r="H12" s="293">
        <f t="shared" si="2"/>
        <v>0</v>
      </c>
    </row>
    <row r="13" spans="1:8" ht="15.95" customHeight="1" x14ac:dyDescent="0.2">
      <c r="A13" s="724"/>
      <c r="B13" s="288"/>
      <c r="C13" s="289"/>
      <c r="D13" s="290">
        <f t="shared" si="0"/>
        <v>0</v>
      </c>
      <c r="E13" s="291"/>
      <c r="F13" s="291"/>
      <c r="G13" s="292">
        <f t="shared" si="1"/>
        <v>0</v>
      </c>
      <c r="H13" s="293">
        <f t="shared" si="2"/>
        <v>0</v>
      </c>
    </row>
    <row r="14" spans="1:8" ht="15.95" customHeight="1" x14ac:dyDescent="0.2">
      <c r="A14" s="724"/>
      <c r="B14" s="288"/>
      <c r="C14" s="289"/>
      <c r="D14" s="290">
        <f t="shared" si="0"/>
        <v>0</v>
      </c>
      <c r="E14" s="291"/>
      <c r="F14" s="291"/>
      <c r="G14" s="292">
        <f t="shared" si="1"/>
        <v>0</v>
      </c>
      <c r="H14" s="293">
        <f t="shared" si="2"/>
        <v>0</v>
      </c>
    </row>
    <row r="15" spans="1:8" ht="15.95" customHeight="1" thickBot="1" x14ac:dyDescent="0.25">
      <c r="A15" s="725"/>
      <c r="B15" s="294"/>
      <c r="C15" s="295"/>
      <c r="D15" s="296">
        <f t="shared" si="0"/>
        <v>0</v>
      </c>
      <c r="E15" s="297"/>
      <c r="F15" s="297"/>
      <c r="G15" s="298">
        <f t="shared" si="1"/>
        <v>0</v>
      </c>
      <c r="H15" s="299">
        <f t="shared" si="2"/>
        <v>0</v>
      </c>
    </row>
    <row r="16" spans="1:8" ht="16.5" customHeight="1" x14ac:dyDescent="0.2">
      <c r="A16" s="726" t="s">
        <v>147</v>
      </c>
      <c r="B16" s="300" t="s">
        <v>53</v>
      </c>
      <c r="C16" s="301">
        <v>11700</v>
      </c>
      <c r="D16" s="284">
        <f t="shared" si="0"/>
        <v>114.777</v>
      </c>
      <c r="E16" s="302">
        <v>0</v>
      </c>
      <c r="F16" s="302">
        <v>-1.0247287229400814</v>
      </c>
      <c r="G16" s="303">
        <f t="shared" si="1"/>
        <v>117.61528863289372</v>
      </c>
      <c r="H16" s="304">
        <f t="shared" si="2"/>
        <v>0</v>
      </c>
    </row>
    <row r="17" spans="1:9" ht="15.95" customHeight="1" x14ac:dyDescent="0.2">
      <c r="A17" s="727"/>
      <c r="B17" s="305"/>
      <c r="C17" s="306"/>
      <c r="D17" s="290">
        <f t="shared" si="0"/>
        <v>0</v>
      </c>
      <c r="E17" s="307"/>
      <c r="F17" s="307"/>
      <c r="G17" s="308">
        <f t="shared" si="1"/>
        <v>0</v>
      </c>
      <c r="H17" s="309">
        <f t="shared" si="2"/>
        <v>0</v>
      </c>
    </row>
    <row r="18" spans="1:9" ht="15.95" customHeight="1" x14ac:dyDescent="0.2">
      <c r="A18" s="727"/>
      <c r="B18" s="305"/>
      <c r="C18" s="306"/>
      <c r="D18" s="290">
        <f t="shared" si="0"/>
        <v>0</v>
      </c>
      <c r="E18" s="307"/>
      <c r="F18" s="307"/>
      <c r="G18" s="308">
        <f t="shared" si="1"/>
        <v>0</v>
      </c>
      <c r="H18" s="309">
        <f t="shared" si="2"/>
        <v>0</v>
      </c>
    </row>
    <row r="19" spans="1:9" ht="15.95" customHeight="1" x14ac:dyDescent="0.2">
      <c r="A19" s="727"/>
      <c r="B19" s="305"/>
      <c r="C19" s="306"/>
      <c r="D19" s="290">
        <f t="shared" si="0"/>
        <v>0</v>
      </c>
      <c r="E19" s="307"/>
      <c r="F19" s="307"/>
      <c r="G19" s="308">
        <f t="shared" si="1"/>
        <v>0</v>
      </c>
      <c r="H19" s="309">
        <f t="shared" si="2"/>
        <v>0</v>
      </c>
    </row>
    <row r="20" spans="1:9" ht="15.95" customHeight="1" thickBot="1" x14ac:dyDescent="0.25">
      <c r="A20" s="728"/>
      <c r="B20" s="310"/>
      <c r="C20" s="311"/>
      <c r="D20" s="296">
        <f t="shared" si="0"/>
        <v>0</v>
      </c>
      <c r="E20" s="312"/>
      <c r="F20" s="312"/>
      <c r="G20" s="313">
        <f t="shared" si="1"/>
        <v>0</v>
      </c>
      <c r="H20" s="314">
        <f t="shared" si="2"/>
        <v>0</v>
      </c>
    </row>
    <row r="21" spans="1:9" ht="15.95" customHeight="1" x14ac:dyDescent="0.2">
      <c r="A21" s="729" t="s">
        <v>224</v>
      </c>
      <c r="B21" s="315" t="s">
        <v>240</v>
      </c>
      <c r="C21" s="316">
        <v>5000</v>
      </c>
      <c r="D21" s="284">
        <f t="shared" si="0"/>
        <v>49.05</v>
      </c>
      <c r="E21" s="686">
        <v>0</v>
      </c>
      <c r="F21" s="317">
        <v>3.41</v>
      </c>
      <c r="G21" s="318">
        <f t="shared" si="1"/>
        <v>-167.26050000000001</v>
      </c>
      <c r="H21" s="319">
        <f t="shared" si="2"/>
        <v>0</v>
      </c>
    </row>
    <row r="22" spans="1:9" ht="15.95" customHeight="1" x14ac:dyDescent="0.2">
      <c r="A22" s="730"/>
      <c r="B22" s="320" t="s">
        <v>237</v>
      </c>
      <c r="C22" s="321">
        <v>2150</v>
      </c>
      <c r="D22" s="290">
        <f t="shared" si="0"/>
        <v>21.0915</v>
      </c>
      <c r="E22" s="687">
        <v>-1</v>
      </c>
      <c r="F22" s="687">
        <v>3.6</v>
      </c>
      <c r="G22" s="322">
        <f t="shared" si="1"/>
        <v>-75.929400000000001</v>
      </c>
      <c r="H22" s="323">
        <f t="shared" si="2"/>
        <v>-21.0915</v>
      </c>
    </row>
    <row r="23" spans="1:9" ht="15.95" customHeight="1" x14ac:dyDescent="0.2">
      <c r="A23" s="730"/>
      <c r="B23" s="320"/>
      <c r="C23" s="321"/>
      <c r="D23" s="290">
        <f t="shared" si="0"/>
        <v>0</v>
      </c>
      <c r="E23" s="687">
        <v>0</v>
      </c>
      <c r="F23" s="687">
        <v>0</v>
      </c>
      <c r="G23" s="322">
        <f t="shared" si="1"/>
        <v>0</v>
      </c>
      <c r="H23" s="323">
        <f t="shared" si="2"/>
        <v>0</v>
      </c>
    </row>
    <row r="24" spans="1:9" ht="15.95" customHeight="1" x14ac:dyDescent="0.2">
      <c r="A24" s="730"/>
      <c r="B24" s="320"/>
      <c r="C24" s="321"/>
      <c r="D24" s="290">
        <f t="shared" si="0"/>
        <v>0</v>
      </c>
      <c r="E24" s="687">
        <v>0</v>
      </c>
      <c r="F24" s="687">
        <v>0</v>
      </c>
      <c r="G24" s="322">
        <f t="shared" si="1"/>
        <v>0</v>
      </c>
      <c r="H24" s="323">
        <f t="shared" si="2"/>
        <v>0</v>
      </c>
    </row>
    <row r="25" spans="1:9" ht="15.95" customHeight="1" thickBot="1" x14ac:dyDescent="0.25">
      <c r="A25" s="731"/>
      <c r="B25" s="324"/>
      <c r="C25" s="325"/>
      <c r="D25" s="296">
        <f t="shared" si="0"/>
        <v>0</v>
      </c>
      <c r="E25" s="688">
        <v>0</v>
      </c>
      <c r="F25" s="688">
        <v>0</v>
      </c>
      <c r="G25" s="326">
        <f t="shared" si="1"/>
        <v>0</v>
      </c>
      <c r="H25" s="327">
        <f t="shared" si="2"/>
        <v>0</v>
      </c>
      <c r="I25" s="41"/>
    </row>
    <row r="26" spans="1:9" ht="15.95" customHeight="1" x14ac:dyDescent="0.2">
      <c r="A26" s="732" t="s">
        <v>175</v>
      </c>
      <c r="B26" s="328" t="s">
        <v>3</v>
      </c>
      <c r="C26" s="329">
        <v>4000</v>
      </c>
      <c r="D26" s="284">
        <f t="shared" si="0"/>
        <v>39.24</v>
      </c>
      <c r="E26" s="330">
        <v>0</v>
      </c>
      <c r="F26" s="330">
        <v>-2.4500000000000002</v>
      </c>
      <c r="G26" s="331">
        <f t="shared" si="1"/>
        <v>96.138000000000005</v>
      </c>
      <c r="H26" s="332">
        <f t="shared" si="2"/>
        <v>0</v>
      </c>
      <c r="I26" s="41"/>
    </row>
    <row r="27" spans="1:9" ht="15.95" customHeight="1" x14ac:dyDescent="0.2">
      <c r="A27" s="733"/>
      <c r="B27" s="333"/>
      <c r="C27" s="334"/>
      <c r="D27" s="290">
        <f t="shared" si="0"/>
        <v>0</v>
      </c>
      <c r="E27" s="335"/>
      <c r="F27" s="335"/>
      <c r="G27" s="336">
        <f t="shared" si="1"/>
        <v>0</v>
      </c>
      <c r="H27" s="337">
        <f t="shared" si="2"/>
        <v>0</v>
      </c>
      <c r="I27" s="41"/>
    </row>
    <row r="28" spans="1:9" ht="15.95" customHeight="1" thickBot="1" x14ac:dyDescent="0.3">
      <c r="A28" s="733"/>
      <c r="B28" s="338"/>
      <c r="C28" s="339"/>
      <c r="D28" s="340">
        <f t="shared" si="0"/>
        <v>0</v>
      </c>
      <c r="E28" s="341"/>
      <c r="F28" s="341"/>
      <c r="G28" s="342">
        <f t="shared" si="1"/>
        <v>0</v>
      </c>
      <c r="H28" s="343">
        <f t="shared" si="2"/>
        <v>0</v>
      </c>
      <c r="I28" s="41"/>
    </row>
    <row r="29" spans="1:9" ht="15.75" customHeight="1" x14ac:dyDescent="0.2">
      <c r="A29" s="734" t="s">
        <v>227</v>
      </c>
      <c r="B29" s="663"/>
      <c r="C29" s="664"/>
      <c r="D29" s="662">
        <f t="shared" si="0"/>
        <v>0</v>
      </c>
      <c r="E29" s="665">
        <v>0</v>
      </c>
      <c r="F29" s="665">
        <v>3.41</v>
      </c>
      <c r="G29" s="666">
        <f t="shared" si="1"/>
        <v>0</v>
      </c>
      <c r="H29" s="667">
        <f t="shared" si="2"/>
        <v>0</v>
      </c>
      <c r="I29" s="41"/>
    </row>
    <row r="30" spans="1:9" ht="15.95" customHeight="1" x14ac:dyDescent="0.2">
      <c r="A30" s="735"/>
      <c r="B30" s="668"/>
      <c r="C30" s="669"/>
      <c r="D30" s="670">
        <f t="shared" si="0"/>
        <v>0</v>
      </c>
      <c r="E30" s="671"/>
      <c r="F30" s="671"/>
      <c r="G30" s="670">
        <f t="shared" si="1"/>
        <v>0</v>
      </c>
      <c r="H30" s="672">
        <f t="shared" si="2"/>
        <v>0</v>
      </c>
    </row>
    <row r="31" spans="1:9" ht="15.95" customHeight="1" thickBot="1" x14ac:dyDescent="0.3">
      <c r="A31" s="736"/>
      <c r="B31" s="673"/>
      <c r="C31" s="674"/>
      <c r="D31" s="675">
        <f t="shared" si="0"/>
        <v>0</v>
      </c>
      <c r="E31" s="676"/>
      <c r="F31" s="676"/>
      <c r="G31" s="675">
        <f t="shared" si="1"/>
        <v>0</v>
      </c>
      <c r="H31" s="677">
        <f t="shared" si="2"/>
        <v>0</v>
      </c>
    </row>
    <row r="32" spans="1:9" ht="27.75" customHeight="1" x14ac:dyDescent="0.2">
      <c r="A32" s="765" t="s">
        <v>32</v>
      </c>
      <c r="B32" s="766"/>
      <c r="C32" s="344">
        <f>SUM(C10:C15)</f>
        <v>5600</v>
      </c>
      <c r="D32" s="344">
        <f>+IF(SUM(D10:D15)=0,1E-24,SUM(D10:D15))</f>
        <v>54.936</v>
      </c>
      <c r="E32" s="345">
        <f>IF(+H32/D32=0,1E-24,H32/D32)</f>
        <v>9.9999999999999992E-25</v>
      </c>
      <c r="F32" s="345">
        <f>IF(+G32/D32=0,1E-24,G32/D32*-1)</f>
        <v>2.74</v>
      </c>
      <c r="G32" s="346">
        <f>+SUM(G10:G15)</f>
        <v>-150.52464000000001</v>
      </c>
      <c r="H32" s="347">
        <f>+SUM(H10:H15)</f>
        <v>0</v>
      </c>
    </row>
    <row r="33" spans="1:11" ht="15.95" customHeight="1" x14ac:dyDescent="0.2">
      <c r="A33" s="763" t="s">
        <v>31</v>
      </c>
      <c r="B33" s="764"/>
      <c r="C33" s="348">
        <f>SUM(C16:C20)</f>
        <v>11700</v>
      </c>
      <c r="D33" s="348">
        <f>+IF(SUM(D16:D20)=0,1E-24,SUM(D16:D20))</f>
        <v>114.777</v>
      </c>
      <c r="E33" s="349">
        <f t="shared" ref="E33:E36" si="3">IF(+H33/D33=0,1E-24,H33/D33)</f>
        <v>9.9999999999999992E-25</v>
      </c>
      <c r="F33" s="350">
        <f t="shared" ref="F33:F36" si="4">IF(+G33/D33=0,1E-24,G33/D33*-1)</f>
        <v>-1.0247287229400814</v>
      </c>
      <c r="G33" s="351">
        <f>+SUM(G16:G20)</f>
        <v>117.61528863289372</v>
      </c>
      <c r="H33" s="352">
        <f>+SUM(H16:H20)</f>
        <v>0</v>
      </c>
    </row>
    <row r="34" spans="1:11" ht="18.75" customHeight="1" x14ac:dyDescent="0.2">
      <c r="A34" s="761" t="s">
        <v>235</v>
      </c>
      <c r="B34" s="762"/>
      <c r="C34" s="353">
        <f>SUM(C21:C25)</f>
        <v>7150</v>
      </c>
      <c r="D34" s="353">
        <f>+IF(SUM(D21:D25)=0,1E-24,SUM(D21:D25))</f>
        <v>70.141499999999994</v>
      </c>
      <c r="E34" s="354">
        <f>IF(+H34/D34=0,1E-24,H34/D34)</f>
        <v>-0.30069930069930073</v>
      </c>
      <c r="F34" s="355">
        <f>IF(+G34/D34=0,1E-24,G34/D34*-1)</f>
        <v>3.4671328671328676</v>
      </c>
      <c r="G34" s="356">
        <f>+SUM(G21:G25)</f>
        <v>-243.18990000000002</v>
      </c>
      <c r="H34" s="357">
        <f>+SUM(H21:H25)</f>
        <v>-21.0915</v>
      </c>
    </row>
    <row r="35" spans="1:11" ht="18" customHeight="1" x14ac:dyDescent="0.2">
      <c r="A35" s="752" t="s">
        <v>18</v>
      </c>
      <c r="B35" s="753"/>
      <c r="C35" s="358">
        <f>SUM(C26:C28)</f>
        <v>4000</v>
      </c>
      <c r="D35" s="358">
        <f>+IF(SUM(D26:D28)=0,1E-24,SUM(D26:D28))</f>
        <v>39.24</v>
      </c>
      <c r="E35" s="359">
        <f t="shared" si="3"/>
        <v>9.9999999999999992E-25</v>
      </c>
      <c r="F35" s="360">
        <f t="shared" si="4"/>
        <v>-2.4500000000000002</v>
      </c>
      <c r="G35" s="361">
        <f>+SUM(G26:G28)</f>
        <v>96.138000000000005</v>
      </c>
      <c r="H35" s="362">
        <f>+SUM(H26:H28)</f>
        <v>0</v>
      </c>
    </row>
    <row r="36" spans="1:11" ht="15.95" customHeight="1" x14ac:dyDescent="0.2">
      <c r="A36" s="754" t="s">
        <v>24</v>
      </c>
      <c r="B36" s="755"/>
      <c r="C36" s="678">
        <f>SUM(C29:C31)</f>
        <v>0</v>
      </c>
      <c r="D36" s="678">
        <f>+IF(SUM(D29:D31)=0,1E-24,SUM(D29:D31))</f>
        <v>9.9999999999999992E-25</v>
      </c>
      <c r="E36" s="679">
        <f t="shared" si="3"/>
        <v>9.9999999999999992E-25</v>
      </c>
      <c r="F36" s="680">
        <f t="shared" si="4"/>
        <v>9.9999999999999992E-25</v>
      </c>
      <c r="G36" s="681">
        <f>+SUM(G29:G31)</f>
        <v>0</v>
      </c>
      <c r="H36" s="682">
        <f>+SUM(H29:H31)</f>
        <v>0</v>
      </c>
      <c r="I36" s="31"/>
      <c r="J36" s="45" t="s">
        <v>88</v>
      </c>
    </row>
    <row r="37" spans="1:11" s="494" customFormat="1" ht="18" customHeight="1" thickBot="1" x14ac:dyDescent="0.3">
      <c r="A37" s="748" t="s">
        <v>207</v>
      </c>
      <c r="B37" s="749"/>
      <c r="C37" s="496">
        <f>SUM(C32:C36)</f>
        <v>28450</v>
      </c>
      <c r="D37" s="496">
        <f>SUM(D32:D36)</f>
        <v>279.09449999999998</v>
      </c>
      <c r="E37" s="497">
        <f>+IF(H37/D37=0,1E-24,H37/D37)</f>
        <v>-7.5571177504393683E-2</v>
      </c>
      <c r="F37" s="497">
        <f>+IF(G37/D37=0,1E-24,G37/D37)*-1</f>
        <v>0.64480400497718993</v>
      </c>
      <c r="G37" s="498">
        <f>IF(SUM(G32:G36)=0,0.000000000001,SUM(G32:G36))</f>
        <v>-179.96125136710631</v>
      </c>
      <c r="H37" s="499">
        <f>SUM(H32:H36)</f>
        <v>-21.0915</v>
      </c>
      <c r="J37" s="495">
        <f>+SUM(G10:G31)</f>
        <v>-179.96125136710626</v>
      </c>
      <c r="K37" s="495">
        <f>+SUM(H10:H31)</f>
        <v>-21.0915</v>
      </c>
    </row>
    <row r="38" spans="1:11" ht="15.95" customHeight="1" thickBot="1" x14ac:dyDescent="0.25">
      <c r="A38" s="758" t="s">
        <v>150</v>
      </c>
      <c r="B38" s="759"/>
      <c r="C38" s="759"/>
      <c r="D38" s="759"/>
      <c r="E38" s="759"/>
      <c r="F38" s="759"/>
      <c r="G38" s="759"/>
      <c r="H38" s="760"/>
      <c r="J38" s="605">
        <f>+SUM(F32:F36)</f>
        <v>2.7324041441927864</v>
      </c>
    </row>
    <row r="39" spans="1:11" ht="45.75" customHeight="1" thickBot="1" x14ac:dyDescent="0.25">
      <c r="A39" s="704" t="s">
        <v>76</v>
      </c>
      <c r="B39" s="705"/>
      <c r="C39" s="363" t="s">
        <v>72</v>
      </c>
      <c r="D39" s="280" t="s">
        <v>73</v>
      </c>
      <c r="E39" s="280" t="s">
        <v>67</v>
      </c>
      <c r="F39" s="364" t="s">
        <v>68</v>
      </c>
      <c r="G39" s="700" t="s">
        <v>21</v>
      </c>
      <c r="H39" s="702" t="s">
        <v>159</v>
      </c>
      <c r="I39" s="26"/>
    </row>
    <row r="40" spans="1:11" ht="15.95" customHeight="1" thickBot="1" x14ac:dyDescent="0.25">
      <c r="A40" s="721"/>
      <c r="B40" s="722"/>
      <c r="C40" s="365" t="s">
        <v>177</v>
      </c>
      <c r="D40" s="365" t="s">
        <v>79</v>
      </c>
      <c r="E40" s="365" t="s">
        <v>80</v>
      </c>
      <c r="F40" s="366" t="s">
        <v>80</v>
      </c>
      <c r="G40" s="701"/>
      <c r="H40" s="703"/>
    </row>
    <row r="41" spans="1:11" ht="15.95" customHeight="1" x14ac:dyDescent="0.2">
      <c r="A41" s="789" t="s">
        <v>74</v>
      </c>
      <c r="B41" s="790"/>
      <c r="C41" s="367">
        <v>1.5</v>
      </c>
      <c r="D41" s="368">
        <v>-450</v>
      </c>
      <c r="E41" s="367">
        <v>0</v>
      </c>
      <c r="F41" s="367">
        <v>2.74</v>
      </c>
      <c r="G41" s="606" t="s">
        <v>213</v>
      </c>
      <c r="H41" s="607" t="s">
        <v>212</v>
      </c>
    </row>
    <row r="42" spans="1:11" ht="15.95" customHeight="1" x14ac:dyDescent="0.2">
      <c r="A42" s="789" t="s">
        <v>75</v>
      </c>
      <c r="B42" s="790"/>
      <c r="C42" s="367"/>
      <c r="D42" s="368"/>
      <c r="E42" s="367"/>
      <c r="F42" s="367"/>
      <c r="G42" s="608" t="s">
        <v>33</v>
      </c>
      <c r="H42" s="609" t="s">
        <v>33</v>
      </c>
    </row>
    <row r="43" spans="1:11" ht="15.95" customHeight="1" x14ac:dyDescent="0.2">
      <c r="A43" s="789" t="s">
        <v>77</v>
      </c>
      <c r="B43" s="790"/>
      <c r="C43" s="367"/>
      <c r="D43" s="368"/>
      <c r="E43" s="367"/>
      <c r="F43" s="367"/>
      <c r="G43" s="608" t="s">
        <v>33</v>
      </c>
      <c r="H43" s="609" t="s">
        <v>33</v>
      </c>
    </row>
    <row r="44" spans="1:11" ht="15.95" customHeight="1" thickBot="1" x14ac:dyDescent="0.25">
      <c r="A44" s="813" t="s">
        <v>78</v>
      </c>
      <c r="B44" s="814"/>
      <c r="C44" s="369"/>
      <c r="D44" s="370"/>
      <c r="E44" s="369"/>
      <c r="F44" s="369"/>
      <c r="G44" s="610" t="s">
        <v>33</v>
      </c>
      <c r="H44" s="611" t="s">
        <v>33</v>
      </c>
    </row>
    <row r="45" spans="1:11" ht="15.95" customHeight="1" thickBot="1" x14ac:dyDescent="0.25">
      <c r="A45" s="714" t="s">
        <v>151</v>
      </c>
      <c r="B45" s="715"/>
      <c r="C45" s="715"/>
      <c r="D45" s="715"/>
      <c r="E45" s="715"/>
      <c r="F45" s="715"/>
      <c r="G45" s="715"/>
      <c r="H45" s="716"/>
    </row>
    <row r="46" spans="1:11" ht="33" customHeight="1" thickBot="1" x14ac:dyDescent="0.25">
      <c r="A46" s="710"/>
      <c r="B46" s="711"/>
      <c r="C46" s="371"/>
      <c r="D46" s="476" t="s">
        <v>81</v>
      </c>
      <c r="E46" s="476" t="s">
        <v>67</v>
      </c>
      <c r="F46" s="476" t="s">
        <v>68</v>
      </c>
      <c r="G46" s="719"/>
      <c r="H46" s="720"/>
    </row>
    <row r="47" spans="1:11" ht="15.95" customHeight="1" thickBot="1" x14ac:dyDescent="0.25">
      <c r="A47" s="712"/>
      <c r="B47" s="713"/>
      <c r="C47" s="475"/>
      <c r="D47" s="372" t="s">
        <v>79</v>
      </c>
      <c r="E47" s="372" t="s">
        <v>80</v>
      </c>
      <c r="F47" s="372" t="s">
        <v>80</v>
      </c>
      <c r="G47" s="706"/>
      <c r="H47" s="707"/>
    </row>
    <row r="48" spans="1:11" ht="15.95" customHeight="1" x14ac:dyDescent="0.2">
      <c r="A48" s="708" t="s">
        <v>225</v>
      </c>
      <c r="B48" s="709"/>
      <c r="C48" s="373"/>
      <c r="D48" s="374">
        <v>392</v>
      </c>
      <c r="E48" s="373">
        <f>+E34</f>
        <v>-0.30069930069930073</v>
      </c>
      <c r="F48" s="373">
        <f>+F34</f>
        <v>3.4671328671328676</v>
      </c>
      <c r="G48" s="717" t="s">
        <v>221</v>
      </c>
      <c r="H48" s="718"/>
    </row>
    <row r="49" spans="1:8" ht="15.95" customHeight="1" x14ac:dyDescent="0.2">
      <c r="A49" s="775" t="s">
        <v>226</v>
      </c>
      <c r="B49" s="776"/>
      <c r="C49" s="375"/>
      <c r="D49" s="376">
        <v>-29.4</v>
      </c>
      <c r="E49" s="375">
        <f>+E34</f>
        <v>-0.30069930069930073</v>
      </c>
      <c r="F49" s="375">
        <f>+F34</f>
        <v>3.4671328671328676</v>
      </c>
      <c r="G49" s="771" t="s">
        <v>222</v>
      </c>
      <c r="H49" s="772"/>
    </row>
    <row r="50" spans="1:8" ht="15.95" customHeight="1" thickBot="1" x14ac:dyDescent="0.25">
      <c r="A50" s="777" t="s">
        <v>23</v>
      </c>
      <c r="B50" s="778"/>
      <c r="C50" s="377"/>
      <c r="D50" s="378">
        <v>10</v>
      </c>
      <c r="E50" s="379">
        <v>0</v>
      </c>
      <c r="F50" s="379">
        <v>4</v>
      </c>
      <c r="G50" s="773"/>
      <c r="H50" s="774"/>
    </row>
    <row r="51" spans="1:8" ht="18" customHeight="1" thickTop="1" thickBot="1" x14ac:dyDescent="0.3">
      <c r="A51" s="559"/>
      <c r="B51" s="381"/>
      <c r="C51" s="382"/>
      <c r="D51" s="382"/>
      <c r="E51" s="383"/>
      <c r="F51" s="383"/>
      <c r="G51" s="384"/>
      <c r="H51" s="560"/>
    </row>
    <row r="52" spans="1:8" ht="18" customHeight="1" thickTop="1" thickBot="1" x14ac:dyDescent="0.3">
      <c r="A52" s="277" t="s">
        <v>152</v>
      </c>
      <c r="B52" s="385"/>
      <c r="C52" s="386"/>
      <c r="D52" s="386"/>
      <c r="E52" s="387"/>
      <c r="F52" s="387"/>
      <c r="G52" s="388"/>
      <c r="H52" s="389"/>
    </row>
    <row r="53" spans="1:8" s="40" customFormat="1" ht="36" customHeight="1" thickBot="1" x14ac:dyDescent="0.25">
      <c r="A53" s="692" t="s">
        <v>17</v>
      </c>
      <c r="B53" s="693"/>
      <c r="C53" s="280" t="s">
        <v>0</v>
      </c>
      <c r="D53" s="280" t="s">
        <v>66</v>
      </c>
      <c r="E53" s="280" t="s">
        <v>67</v>
      </c>
      <c r="F53" s="280" t="s">
        <v>68</v>
      </c>
      <c r="G53" s="280" t="s">
        <v>69</v>
      </c>
      <c r="H53" s="281" t="s">
        <v>70</v>
      </c>
    </row>
    <row r="54" spans="1:8" ht="15.95" customHeight="1" x14ac:dyDescent="0.2">
      <c r="A54" s="726" t="s">
        <v>176</v>
      </c>
      <c r="B54" s="482" t="s">
        <v>241</v>
      </c>
      <c r="C54" s="483">
        <v>10000</v>
      </c>
      <c r="D54" s="484">
        <f>+C54*9.81/1000</f>
        <v>98.1</v>
      </c>
      <c r="E54" s="485">
        <v>0</v>
      </c>
      <c r="F54" s="485">
        <v>0</v>
      </c>
      <c r="G54" s="303">
        <f t="shared" ref="G54:G56" si="5">+F54*D54*-1</f>
        <v>0</v>
      </c>
      <c r="H54" s="304">
        <f t="shared" ref="H54:H56" si="6">+E54*D54</f>
        <v>0</v>
      </c>
    </row>
    <row r="55" spans="1:8" ht="15.95" customHeight="1" x14ac:dyDescent="0.2">
      <c r="A55" s="727"/>
      <c r="B55" s="486"/>
      <c r="C55" s="487"/>
      <c r="D55" s="488">
        <f t="shared" ref="D55:D56" si="7">+C55*9.81/1000</f>
        <v>0</v>
      </c>
      <c r="E55" s="489">
        <v>0</v>
      </c>
      <c r="F55" s="489">
        <v>0</v>
      </c>
      <c r="G55" s="308">
        <f t="shared" si="5"/>
        <v>0</v>
      </c>
      <c r="H55" s="309">
        <f t="shared" si="6"/>
        <v>0</v>
      </c>
    </row>
    <row r="56" spans="1:8" ht="15.95" customHeight="1" thickBot="1" x14ac:dyDescent="0.25">
      <c r="A56" s="728"/>
      <c r="B56" s="490"/>
      <c r="C56" s="491"/>
      <c r="D56" s="492">
        <f t="shared" si="7"/>
        <v>0</v>
      </c>
      <c r="E56" s="493">
        <v>0</v>
      </c>
      <c r="F56" s="493">
        <v>0</v>
      </c>
      <c r="G56" s="313">
        <f t="shared" si="5"/>
        <v>0</v>
      </c>
      <c r="H56" s="314">
        <f t="shared" si="6"/>
        <v>0</v>
      </c>
    </row>
    <row r="57" spans="1:8" ht="18" customHeight="1" thickBot="1" x14ac:dyDescent="0.3">
      <c r="A57" s="811" t="s">
        <v>208</v>
      </c>
      <c r="B57" s="812"/>
      <c r="C57" s="646">
        <f>+IF(SUM(C54:C56)=0,1E-24,SUM(C54:C56))</f>
        <v>10000</v>
      </c>
      <c r="D57" s="645">
        <f>+IF(SUM(D54:D56)=0,1E-24,SUM(D54:D56))</f>
        <v>98.1</v>
      </c>
      <c r="E57" s="501">
        <f>+IF(H57/D57=0,1E-24,H57/D57)</f>
        <v>9.9999999999999992E-25</v>
      </c>
      <c r="F57" s="501">
        <f>+IF(G57/D57=0,1E-24,G57/D57)*-1</f>
        <v>-9.9999999999999992E-25</v>
      </c>
      <c r="G57" s="500">
        <f>+SUM(G54:G56)</f>
        <v>0</v>
      </c>
      <c r="H57" s="502">
        <f>+SUM(H54:H56)</f>
        <v>0</v>
      </c>
    </row>
    <row r="58" spans="1:8" ht="18" customHeight="1" thickBot="1" x14ac:dyDescent="0.3">
      <c r="A58" s="809" t="s">
        <v>245</v>
      </c>
      <c r="B58" s="810"/>
      <c r="C58" s="647">
        <f>+C57+C37</f>
        <v>38450</v>
      </c>
      <c r="D58" s="642"/>
      <c r="E58" s="643"/>
      <c r="F58" s="643"/>
      <c r="G58" s="642"/>
      <c r="H58" s="644"/>
    </row>
    <row r="59" spans="1:8" s="93" customFormat="1" ht="21.75" customHeight="1" thickBot="1" x14ac:dyDescent="0.25">
      <c r="A59" s="745" t="s">
        <v>223</v>
      </c>
      <c r="B59" s="746"/>
      <c r="C59" s="746"/>
      <c r="D59" s="746"/>
      <c r="E59" s="746"/>
      <c r="F59" s="746"/>
      <c r="G59" s="746"/>
      <c r="H59" s="747"/>
    </row>
    <row r="60" spans="1:8" s="93" customFormat="1" ht="33" customHeight="1" thickBot="1" x14ac:dyDescent="0.25">
      <c r="A60" s="704" t="s">
        <v>76</v>
      </c>
      <c r="B60" s="705"/>
      <c r="C60" s="562" t="s">
        <v>72</v>
      </c>
      <c r="D60" s="563" t="s">
        <v>73</v>
      </c>
      <c r="E60" s="481" t="s">
        <v>67</v>
      </c>
      <c r="F60" s="436" t="s">
        <v>68</v>
      </c>
      <c r="G60" s="700" t="s">
        <v>21</v>
      </c>
      <c r="H60" s="702" t="s">
        <v>159</v>
      </c>
    </row>
    <row r="61" spans="1:8" ht="15.95" customHeight="1" thickBot="1" x14ac:dyDescent="0.25">
      <c r="A61" s="721"/>
      <c r="B61" s="722"/>
      <c r="C61" s="365" t="s">
        <v>177</v>
      </c>
      <c r="D61" s="365" t="s">
        <v>79</v>
      </c>
      <c r="E61" s="365" t="s">
        <v>80</v>
      </c>
      <c r="F61" s="366" t="s">
        <v>80</v>
      </c>
      <c r="G61" s="701"/>
      <c r="H61" s="703"/>
    </row>
    <row r="62" spans="1:8" ht="15.95" customHeight="1" x14ac:dyDescent="0.25">
      <c r="A62" s="789" t="s">
        <v>74</v>
      </c>
      <c r="B62" s="790"/>
      <c r="C62" s="367"/>
      <c r="D62" s="368"/>
      <c r="E62" s="367"/>
      <c r="F62" s="367"/>
      <c r="G62" s="612"/>
      <c r="H62" s="613"/>
    </row>
    <row r="63" spans="1:8" ht="15.95" customHeight="1" x14ac:dyDescent="0.25">
      <c r="A63" s="789" t="s">
        <v>75</v>
      </c>
      <c r="B63" s="790"/>
      <c r="C63" s="367"/>
      <c r="D63" s="368"/>
      <c r="E63" s="367"/>
      <c r="F63" s="367"/>
      <c r="G63" s="614"/>
      <c r="H63" s="615"/>
    </row>
    <row r="64" spans="1:8" ht="15.95" customHeight="1" x14ac:dyDescent="0.25">
      <c r="A64" s="789" t="s">
        <v>77</v>
      </c>
      <c r="B64" s="790"/>
      <c r="C64" s="367"/>
      <c r="D64" s="368"/>
      <c r="E64" s="367"/>
      <c r="F64" s="367"/>
      <c r="G64" s="614"/>
      <c r="H64" s="615"/>
    </row>
    <row r="65" spans="1:10" s="27" customFormat="1" ht="17.25" thickBot="1" x14ac:dyDescent="0.3">
      <c r="A65" s="791" t="s">
        <v>78</v>
      </c>
      <c r="B65" s="792"/>
      <c r="C65" s="390"/>
      <c r="D65" s="561"/>
      <c r="E65" s="390"/>
      <c r="F65" s="390"/>
      <c r="G65" s="616"/>
      <c r="H65" s="617"/>
      <c r="I65" s="25"/>
    </row>
    <row r="66" spans="1:10" ht="18" thickTop="1" thickBot="1" x14ac:dyDescent="0.3">
      <c r="A66" s="380"/>
      <c r="B66" s="381"/>
      <c r="C66" s="382"/>
      <c r="D66" s="382"/>
      <c r="E66" s="383"/>
      <c r="F66" s="383"/>
      <c r="G66" s="384"/>
      <c r="H66" s="384"/>
    </row>
    <row r="67" spans="1:10" ht="18" thickTop="1" thickBot="1" x14ac:dyDescent="0.25">
      <c r="A67" s="799" t="s">
        <v>34</v>
      </c>
      <c r="B67" s="800"/>
      <c r="C67" s="800"/>
      <c r="D67" s="406"/>
      <c r="E67" s="406" t="s">
        <v>179</v>
      </c>
      <c r="F67" s="406"/>
      <c r="G67" s="406"/>
      <c r="H67" s="407"/>
    </row>
    <row r="68" spans="1:10" ht="16.5" x14ac:dyDescent="0.2">
      <c r="A68" s="756" t="s">
        <v>19</v>
      </c>
      <c r="B68" s="757"/>
      <c r="C68" s="302">
        <v>3.8140000000000001</v>
      </c>
      <c r="D68" s="408"/>
      <c r="E68" s="801" t="s">
        <v>246</v>
      </c>
      <c r="F68" s="802"/>
      <c r="G68" s="805" t="s">
        <v>180</v>
      </c>
      <c r="H68" s="409"/>
      <c r="J68" s="154" t="s">
        <v>180</v>
      </c>
    </row>
    <row r="69" spans="1:10" ht="16.5" x14ac:dyDescent="0.2">
      <c r="A69" s="775" t="s">
        <v>2</v>
      </c>
      <c r="B69" s="788"/>
      <c r="C69" s="307">
        <v>0.7</v>
      </c>
      <c r="D69" s="410"/>
      <c r="E69" s="803"/>
      <c r="F69" s="804"/>
      <c r="G69" s="806"/>
      <c r="H69" s="411"/>
      <c r="J69" s="154" t="s">
        <v>181</v>
      </c>
    </row>
    <row r="70" spans="1:10" ht="17.25" thickBot="1" x14ac:dyDescent="0.25">
      <c r="A70" s="807" t="s">
        <v>35</v>
      </c>
      <c r="B70" s="808"/>
      <c r="C70" s="391">
        <v>3.3</v>
      </c>
      <c r="D70" s="743"/>
      <c r="E70" s="743"/>
      <c r="F70" s="743"/>
      <c r="G70" s="743"/>
      <c r="H70" s="744"/>
    </row>
    <row r="71" spans="1:10" ht="16.5" x14ac:dyDescent="0.2">
      <c r="A71" s="779" t="s">
        <v>64</v>
      </c>
      <c r="B71" s="780"/>
      <c r="C71" s="392"/>
      <c r="D71" s="393"/>
      <c r="E71" s="785" t="s">
        <v>36</v>
      </c>
      <c r="F71" s="786"/>
      <c r="G71" s="786"/>
      <c r="H71" s="787"/>
    </row>
    <row r="72" spans="1:10" ht="15.75" customHeight="1" x14ac:dyDescent="0.2">
      <c r="A72" s="781"/>
      <c r="B72" s="782"/>
      <c r="C72" s="394"/>
      <c r="D72" s="395"/>
      <c r="E72" s="793" t="s">
        <v>206</v>
      </c>
      <c r="F72" s="794"/>
      <c r="G72" s="794"/>
      <c r="H72" s="795"/>
    </row>
    <row r="73" spans="1:10" ht="16.5" x14ac:dyDescent="0.2">
      <c r="A73" s="396"/>
      <c r="B73" s="397"/>
      <c r="C73" s="394"/>
      <c r="D73" s="395"/>
      <c r="E73" s="793"/>
      <c r="F73" s="794"/>
      <c r="G73" s="794"/>
      <c r="H73" s="795"/>
    </row>
    <row r="74" spans="1:10" ht="16.5" x14ac:dyDescent="0.2">
      <c r="A74" s="396"/>
      <c r="B74" s="397"/>
      <c r="C74" s="394"/>
      <c r="D74" s="395"/>
      <c r="E74" s="793"/>
      <c r="F74" s="794"/>
      <c r="G74" s="794"/>
      <c r="H74" s="795"/>
    </row>
    <row r="75" spans="1:10" ht="16.5" x14ac:dyDescent="0.2">
      <c r="A75" s="396"/>
      <c r="B75" s="397"/>
      <c r="C75" s="394"/>
      <c r="D75" s="395"/>
      <c r="E75" s="793"/>
      <c r="F75" s="794"/>
      <c r="G75" s="794"/>
      <c r="H75" s="795"/>
    </row>
    <row r="76" spans="1:10" ht="16.5" x14ac:dyDescent="0.2">
      <c r="A76" s="396"/>
      <c r="B76" s="397"/>
      <c r="C76" s="394"/>
      <c r="D76" s="395"/>
      <c r="E76" s="793"/>
      <c r="F76" s="794"/>
      <c r="G76" s="794"/>
      <c r="H76" s="795"/>
    </row>
    <row r="77" spans="1:10" ht="16.5" x14ac:dyDescent="0.25">
      <c r="A77" s="398"/>
      <c r="B77" s="399"/>
      <c r="C77" s="400"/>
      <c r="D77" s="400"/>
      <c r="E77" s="793"/>
      <c r="F77" s="794"/>
      <c r="G77" s="794"/>
      <c r="H77" s="795"/>
    </row>
    <row r="78" spans="1:10" ht="16.5" x14ac:dyDescent="0.25">
      <c r="A78" s="398"/>
      <c r="B78" s="399"/>
      <c r="C78" s="783"/>
      <c r="D78" s="401"/>
      <c r="E78" s="793"/>
      <c r="F78" s="794"/>
      <c r="G78" s="794"/>
      <c r="H78" s="795"/>
    </row>
    <row r="79" spans="1:10" ht="18" customHeight="1" thickBot="1" x14ac:dyDescent="0.3">
      <c r="A79" s="402"/>
      <c r="B79" s="403"/>
      <c r="C79" s="784"/>
      <c r="D79" s="404"/>
      <c r="E79" s="796"/>
      <c r="F79" s="797"/>
      <c r="G79" s="797"/>
      <c r="H79" s="798"/>
    </row>
    <row r="80" spans="1:10" ht="15" thickTop="1" x14ac:dyDescent="0.2">
      <c r="A80" s="27"/>
      <c r="B80" s="27"/>
      <c r="C80" s="27"/>
      <c r="D80" s="27"/>
      <c r="E80" s="95"/>
      <c r="F80" s="95"/>
      <c r="G80" s="95"/>
      <c r="H80" s="95"/>
    </row>
    <row r="88" spans="1:1" x14ac:dyDescent="0.2">
      <c r="A88" s="25" t="s">
        <v>51</v>
      </c>
    </row>
  </sheetData>
  <sheetProtection sheet="1" objects="1" scenarios="1"/>
  <mergeCells count="66">
    <mergeCell ref="A58:B58"/>
    <mergeCell ref="A57:B57"/>
    <mergeCell ref="A41:B41"/>
    <mergeCell ref="A42:B42"/>
    <mergeCell ref="A43:B43"/>
    <mergeCell ref="A44:B44"/>
    <mergeCell ref="A54:A56"/>
    <mergeCell ref="G60:G61"/>
    <mergeCell ref="A60:B60"/>
    <mergeCell ref="A71:B72"/>
    <mergeCell ref="C78:C79"/>
    <mergeCell ref="E71:H71"/>
    <mergeCell ref="A69:B69"/>
    <mergeCell ref="H60:H61"/>
    <mergeCell ref="A62:B62"/>
    <mergeCell ref="A63:B63"/>
    <mergeCell ref="A64:B64"/>
    <mergeCell ref="A65:B65"/>
    <mergeCell ref="E72:H79"/>
    <mergeCell ref="A67:C67"/>
    <mergeCell ref="E68:F69"/>
    <mergeCell ref="G68:G69"/>
    <mergeCell ref="A70:B70"/>
    <mergeCell ref="G49:H49"/>
    <mergeCell ref="G50:H50"/>
    <mergeCell ref="A49:B49"/>
    <mergeCell ref="A50:B50"/>
    <mergeCell ref="A53:B53"/>
    <mergeCell ref="A1:H2"/>
    <mergeCell ref="A61:B61"/>
    <mergeCell ref="D70:H70"/>
    <mergeCell ref="A59:H59"/>
    <mergeCell ref="A37:B37"/>
    <mergeCell ref="A3:H3"/>
    <mergeCell ref="C4:E4"/>
    <mergeCell ref="A35:B35"/>
    <mergeCell ref="A36:B36"/>
    <mergeCell ref="A68:B68"/>
    <mergeCell ref="A38:H38"/>
    <mergeCell ref="A34:B34"/>
    <mergeCell ref="A33:B33"/>
    <mergeCell ref="A32:B32"/>
    <mergeCell ref="G5:H5"/>
    <mergeCell ref="G6:H6"/>
    <mergeCell ref="A10:A15"/>
    <mergeCell ref="A16:A20"/>
    <mergeCell ref="A21:A25"/>
    <mergeCell ref="A26:A28"/>
    <mergeCell ref="A29:A31"/>
    <mergeCell ref="G39:G40"/>
    <mergeCell ref="H39:H40"/>
    <mergeCell ref="A39:B39"/>
    <mergeCell ref="G47:H47"/>
    <mergeCell ref="A48:B48"/>
    <mergeCell ref="A46:B46"/>
    <mergeCell ref="A47:B47"/>
    <mergeCell ref="A45:H45"/>
    <mergeCell ref="G48:H48"/>
    <mergeCell ref="G46:H46"/>
    <mergeCell ref="A40:B40"/>
    <mergeCell ref="A4:B4"/>
    <mergeCell ref="A9:B9"/>
    <mergeCell ref="C6:E6"/>
    <mergeCell ref="A5:B5"/>
    <mergeCell ref="A6:B6"/>
    <mergeCell ref="C5:E5"/>
  </mergeCells>
  <phoneticPr fontId="0" type="noConversion"/>
  <conditionalFormatting sqref="D54:D56 D10:D28 D30:D31">
    <cfRule type="cellIs" dxfId="72" priority="10" stopIfTrue="1" operator="equal">
      <formula>0</formula>
    </cfRule>
    <cfRule type="cellIs" dxfId="71" priority="11" stopIfTrue="1" operator="equal">
      <formula>106439</formula>
    </cfRule>
  </conditionalFormatting>
  <conditionalFormatting sqref="D49">
    <cfRule type="cellIs" dxfId="70" priority="9" operator="greaterThan">
      <formula>0</formula>
    </cfRule>
  </conditionalFormatting>
  <conditionalFormatting sqref="D41">
    <cfRule type="cellIs" dxfId="69" priority="8" operator="greaterThan">
      <formula>0</formula>
    </cfRule>
  </conditionalFormatting>
  <conditionalFormatting sqref="D62:D65">
    <cfRule type="cellIs" dxfId="68" priority="2" operator="greaterThan">
      <formula>0</formula>
    </cfRule>
  </conditionalFormatting>
  <conditionalFormatting sqref="D41:D44">
    <cfRule type="cellIs" dxfId="67" priority="3" operator="greaterThan">
      <formula>0</formula>
    </cfRule>
  </conditionalFormatting>
  <conditionalFormatting sqref="D62:D65">
    <cfRule type="cellIs" dxfId="66" priority="1" operator="greaterThan">
      <formula>0</formula>
    </cfRule>
  </conditionalFormatting>
  <dataValidations count="1">
    <dataValidation type="list" allowBlank="1" showInputMessage="1" showErrorMessage="1" sqref="G68:G69">
      <formula1>$J$68:$J$69</formula1>
    </dataValidation>
  </dataValidations>
  <pageMargins left="0.7" right="0.7" top="0.75" bottom="0.75" header="0.3" footer="0.3"/>
  <pageSetup paperSize="9" scale="4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61"/>
  <sheetViews>
    <sheetView zoomScale="75" zoomScaleNormal="75" workbookViewId="0">
      <selection activeCell="O2" sqref="O2:O5"/>
    </sheetView>
  </sheetViews>
  <sheetFormatPr defaultRowHeight="12.75" x14ac:dyDescent="0.2"/>
  <cols>
    <col min="1" max="1" width="23.375" style="21" customWidth="1"/>
    <col min="2" max="3" width="10.625" style="1" customWidth="1"/>
    <col min="4" max="8" width="10.625" style="22" customWidth="1"/>
    <col min="9" max="10" width="10.625" style="1" customWidth="1"/>
    <col min="11" max="11" width="29.75" style="1" customWidth="1"/>
    <col min="12" max="12" width="11" style="1" customWidth="1"/>
    <col min="13" max="13" width="9.125" style="22" hidden="1" customWidth="1"/>
    <col min="14" max="17" width="9.125" style="22" customWidth="1"/>
    <col min="18" max="19" width="9" style="1"/>
    <col min="20" max="20" width="9.375" style="1" bestFit="1" customWidth="1"/>
    <col min="21" max="25" width="9" style="1"/>
    <col min="26" max="26" width="3.5" style="1" customWidth="1"/>
    <col min="27" max="31" width="9.125" style="1" customWidth="1"/>
    <col min="32" max="32" width="3.5" style="1" customWidth="1"/>
    <col min="33" max="37" width="9.125" style="1" customWidth="1"/>
    <col min="38" max="38" width="2.875" style="114" customWidth="1"/>
    <col min="39" max="39" width="9" style="1"/>
    <col min="40" max="40" width="3.25" style="1" customWidth="1"/>
    <col min="41" max="45" width="9" style="1"/>
    <col min="46" max="46" width="3.25" style="1" customWidth="1"/>
    <col min="47" max="51" width="9" style="1"/>
    <col min="52" max="52" width="3.25" style="1" customWidth="1"/>
    <col min="53" max="53" width="9" style="1"/>
    <col min="54" max="54" width="11" style="1" bestFit="1" customWidth="1"/>
    <col min="55" max="56" width="9" style="1"/>
    <col min="57" max="57" width="3.5" style="1" customWidth="1"/>
    <col min="58" max="59" width="9" style="1"/>
    <col min="60" max="60" width="9.125" style="1" bestFit="1" customWidth="1"/>
    <col min="61" max="61" width="9.75" style="1" bestFit="1" customWidth="1"/>
    <col min="62" max="62" width="9.75" style="1" customWidth="1"/>
    <col min="63" max="63" width="3.5" style="1" customWidth="1"/>
    <col min="64" max="65" width="9" style="1"/>
    <col min="66" max="66" width="3.625" style="1" customWidth="1"/>
    <col min="67" max="67" width="10.875" style="1" customWidth="1"/>
    <col min="68" max="68" width="10.25" style="1" customWidth="1"/>
    <col min="69" max="69" width="3.375" style="1" customWidth="1"/>
    <col min="70" max="71" width="11.25" style="1" customWidth="1"/>
    <col min="72" max="16384" width="9" style="1"/>
  </cols>
  <sheetData>
    <row r="1" spans="1:71" s="94" customFormat="1" ht="74.25" customHeight="1" thickTop="1" thickBot="1" x14ac:dyDescent="0.35">
      <c r="A1" s="30" t="str">
        <f>'Input Page'!C4</f>
        <v>EXAMPLE</v>
      </c>
      <c r="B1" s="835" t="s">
        <v>174</v>
      </c>
      <c r="C1" s="835" t="s">
        <v>67</v>
      </c>
      <c r="D1" s="846" t="s">
        <v>68</v>
      </c>
      <c r="E1" s="815" t="s">
        <v>86</v>
      </c>
      <c r="F1" s="833" t="s">
        <v>87</v>
      </c>
      <c r="G1" s="166"/>
      <c r="H1" s="167"/>
      <c r="I1" s="168"/>
      <c r="J1" s="168"/>
      <c r="K1" s="168"/>
      <c r="L1" s="928" t="s">
        <v>38</v>
      </c>
      <c r="M1" s="929"/>
      <c r="N1" s="929"/>
      <c r="O1" s="929"/>
      <c r="P1" s="923" t="s">
        <v>37</v>
      </c>
      <c r="Q1" s="924"/>
      <c r="R1" s="924"/>
      <c r="S1" s="925"/>
      <c r="T1" s="934" t="s">
        <v>25</v>
      </c>
      <c r="U1" s="935"/>
      <c r="V1" s="1"/>
      <c r="W1" s="926" t="s">
        <v>141</v>
      </c>
      <c r="X1" s="927"/>
      <c r="Y1" s="927"/>
      <c r="Z1" s="547"/>
      <c r="AA1" s="969" t="s">
        <v>27</v>
      </c>
      <c r="AB1" s="969"/>
      <c r="AC1" s="969"/>
      <c r="AD1" s="969"/>
      <c r="AE1" s="969"/>
      <c r="AF1" s="547"/>
      <c r="AG1" s="969" t="s">
        <v>11</v>
      </c>
      <c r="AH1" s="969"/>
      <c r="AI1" s="969"/>
      <c r="AJ1" s="969"/>
      <c r="AK1" s="970"/>
      <c r="AL1" s="56"/>
      <c r="AM1" s="959" t="s">
        <v>96</v>
      </c>
      <c r="AN1" s="960"/>
      <c r="AO1" s="960"/>
      <c r="AP1" s="960"/>
      <c r="AQ1" s="960"/>
      <c r="AR1" s="960"/>
      <c r="AS1" s="960"/>
      <c r="AT1" s="960"/>
      <c r="AU1" s="960"/>
      <c r="AV1" s="960"/>
      <c r="AW1" s="960"/>
      <c r="AX1" s="960"/>
      <c r="AY1" s="960"/>
      <c r="AZ1" s="960"/>
      <c r="BA1" s="960"/>
      <c r="BB1" s="960"/>
      <c r="BC1" s="960"/>
      <c r="BD1" s="960"/>
      <c r="BE1" s="960"/>
      <c r="BF1" s="960"/>
      <c r="BG1" s="960"/>
      <c r="BH1" s="960"/>
      <c r="BI1" s="960"/>
      <c r="BJ1" s="960"/>
      <c r="BK1" s="960"/>
      <c r="BL1" s="960"/>
      <c r="BM1" s="961"/>
      <c r="BN1" s="108"/>
      <c r="BO1" s="108"/>
      <c r="BP1" s="108"/>
    </row>
    <row r="2" spans="1:71" s="94" customFormat="1" ht="27.75" customHeight="1" thickTop="1" thickBot="1" x14ac:dyDescent="0.35">
      <c r="A2" s="405" t="str">
        <f>'Input Page'!G4</f>
        <v>ZX1000</v>
      </c>
      <c r="B2" s="836"/>
      <c r="C2" s="836"/>
      <c r="D2" s="847"/>
      <c r="E2" s="816"/>
      <c r="F2" s="834"/>
      <c r="G2" s="167"/>
      <c r="H2" s="167"/>
      <c r="I2" s="168"/>
      <c r="J2" s="168"/>
      <c r="K2" s="168"/>
      <c r="L2" s="871" t="s">
        <v>12</v>
      </c>
      <c r="M2" s="873" t="s">
        <v>13</v>
      </c>
      <c r="N2" s="873" t="s">
        <v>126</v>
      </c>
      <c r="O2" s="873" t="s">
        <v>127</v>
      </c>
      <c r="P2" s="873" t="s">
        <v>128</v>
      </c>
      <c r="Q2" s="930" t="s">
        <v>129</v>
      </c>
      <c r="R2" s="875" t="s">
        <v>26</v>
      </c>
      <c r="S2" s="876"/>
      <c r="T2" s="936"/>
      <c r="U2" s="937"/>
      <c r="V2" s="1"/>
      <c r="W2" s="888" t="s">
        <v>125</v>
      </c>
      <c r="X2" s="889" t="s">
        <v>130</v>
      </c>
      <c r="Y2" s="889" t="s">
        <v>131</v>
      </c>
      <c r="Z2" s="2"/>
      <c r="AA2" s="897" t="s">
        <v>132</v>
      </c>
      <c r="AB2" s="895" t="s">
        <v>135</v>
      </c>
      <c r="AC2" s="896" t="s">
        <v>134</v>
      </c>
      <c r="AD2" s="898" t="s">
        <v>137</v>
      </c>
      <c r="AE2" s="899" t="s">
        <v>139</v>
      </c>
      <c r="AF2" s="2"/>
      <c r="AG2" s="897" t="s">
        <v>132</v>
      </c>
      <c r="AH2" s="895" t="s">
        <v>140</v>
      </c>
      <c r="AI2" s="896" t="s">
        <v>134</v>
      </c>
      <c r="AJ2" s="898" t="s">
        <v>137</v>
      </c>
      <c r="AK2" s="971" t="s">
        <v>139</v>
      </c>
      <c r="AL2" s="111"/>
      <c r="AM2" s="868" t="s">
        <v>120</v>
      </c>
      <c r="AN2" s="516"/>
      <c r="AO2" s="880" t="s">
        <v>97</v>
      </c>
      <c r="AP2" s="881"/>
      <c r="AQ2" s="881"/>
      <c r="AR2" s="881"/>
      <c r="AS2" s="882"/>
      <c r="AT2" s="517"/>
      <c r="AU2" s="964" t="s">
        <v>113</v>
      </c>
      <c r="AV2" s="965"/>
      <c r="AW2" s="965"/>
      <c r="AX2" s="965"/>
      <c r="AY2" s="966"/>
      <c r="AZ2" s="517"/>
      <c r="BA2" s="877" t="s">
        <v>118</v>
      </c>
      <c r="BB2" s="878"/>
      <c r="BC2" s="878"/>
      <c r="BD2" s="879"/>
      <c r="BE2" s="518"/>
      <c r="BF2" s="890" t="s">
        <v>106</v>
      </c>
      <c r="BG2" s="891"/>
      <c r="BH2" s="891"/>
      <c r="BI2" s="892"/>
      <c r="BJ2" s="519"/>
      <c r="BK2" s="518"/>
      <c r="BL2" s="518"/>
      <c r="BM2" s="520"/>
      <c r="BN2" s="108"/>
      <c r="BO2" s="108"/>
      <c r="BP2" s="108"/>
      <c r="BR2" s="885" t="s">
        <v>210</v>
      </c>
      <c r="BS2" s="886"/>
    </row>
    <row r="3" spans="1:71" ht="19.5" customHeight="1" thickBot="1" x14ac:dyDescent="0.25">
      <c r="A3" s="837" t="s">
        <v>153</v>
      </c>
      <c r="B3" s="838"/>
      <c r="C3" s="838"/>
      <c r="D3" s="838"/>
      <c r="E3" s="838"/>
      <c r="F3" s="839"/>
      <c r="G3" s="167"/>
      <c r="H3" s="167"/>
      <c r="I3" s="168"/>
      <c r="J3" s="168"/>
      <c r="K3" s="168"/>
      <c r="L3" s="872"/>
      <c r="M3" s="874"/>
      <c r="N3" s="874"/>
      <c r="O3" s="874"/>
      <c r="P3" s="874"/>
      <c r="Q3" s="931"/>
      <c r="R3" s="3" t="s">
        <v>4</v>
      </c>
      <c r="S3" s="4" t="s">
        <v>5</v>
      </c>
      <c r="T3" s="932" t="s">
        <v>6</v>
      </c>
      <c r="U3" s="933"/>
      <c r="W3" s="888"/>
      <c r="X3" s="889"/>
      <c r="Y3" s="889"/>
      <c r="Z3" s="2"/>
      <c r="AA3" s="897"/>
      <c r="AB3" s="895"/>
      <c r="AC3" s="896"/>
      <c r="AD3" s="898"/>
      <c r="AE3" s="899"/>
      <c r="AF3" s="2"/>
      <c r="AG3" s="897"/>
      <c r="AH3" s="895"/>
      <c r="AI3" s="896"/>
      <c r="AJ3" s="898"/>
      <c r="AK3" s="971"/>
      <c r="AL3" s="111"/>
      <c r="AM3" s="869"/>
      <c r="AN3" s="52"/>
      <c r="AO3" s="867" t="s">
        <v>98</v>
      </c>
      <c r="AP3" s="870" t="s">
        <v>99</v>
      </c>
      <c r="AQ3" s="870" t="s">
        <v>100</v>
      </c>
      <c r="AR3" s="870" t="s">
        <v>101</v>
      </c>
      <c r="AS3" s="908" t="s">
        <v>102</v>
      </c>
      <c r="AT3" s="48"/>
      <c r="AU3" s="867" t="s">
        <v>98</v>
      </c>
      <c r="AV3" s="910" t="s">
        <v>103</v>
      </c>
      <c r="AW3" s="910"/>
      <c r="AX3" s="865" t="s">
        <v>104</v>
      </c>
      <c r="AY3" s="866" t="s">
        <v>105</v>
      </c>
      <c r="AZ3" s="47"/>
      <c r="BA3" s="905" t="s">
        <v>99</v>
      </c>
      <c r="BB3" s="906" t="s">
        <v>111</v>
      </c>
      <c r="BC3" s="909" t="s">
        <v>101</v>
      </c>
      <c r="BD3" s="907" t="s">
        <v>102</v>
      </c>
      <c r="BE3" s="2"/>
      <c r="BF3" s="904" t="s">
        <v>101</v>
      </c>
      <c r="BG3" s="887" t="s">
        <v>102</v>
      </c>
      <c r="BH3" s="59" t="s">
        <v>107</v>
      </c>
      <c r="BI3" s="127"/>
      <c r="BJ3" s="59"/>
      <c r="BK3" s="2"/>
      <c r="BL3" s="848" t="s">
        <v>112</v>
      </c>
      <c r="BM3" s="893" t="s">
        <v>119</v>
      </c>
      <c r="BN3" s="119"/>
      <c r="BO3" s="848" t="s">
        <v>228</v>
      </c>
      <c r="BP3" s="850" t="s">
        <v>229</v>
      </c>
      <c r="BR3" s="883" t="s">
        <v>123</v>
      </c>
      <c r="BS3" s="884"/>
    </row>
    <row r="4" spans="1:71" ht="20.100000000000001" customHeight="1" x14ac:dyDescent="0.35">
      <c r="A4" s="169" t="s">
        <v>84</v>
      </c>
      <c r="B4" s="170">
        <f>+'Input Page'!D32</f>
        <v>54.936</v>
      </c>
      <c r="C4" s="171">
        <f>+'Input Page'!E32</f>
        <v>9.9999999999999992E-25</v>
      </c>
      <c r="D4" s="171">
        <f>+'Input Page'!F32</f>
        <v>2.74</v>
      </c>
      <c r="E4" s="170">
        <f>+'Input Page'!G32</f>
        <v>-150.52464000000001</v>
      </c>
      <c r="F4" s="172">
        <f>+'Input Page'!H32</f>
        <v>0</v>
      </c>
      <c r="G4" s="167"/>
      <c r="H4" s="167"/>
      <c r="I4" s="168"/>
      <c r="J4" s="168"/>
      <c r="K4" s="168"/>
      <c r="L4" s="872"/>
      <c r="M4" s="874"/>
      <c r="N4" s="874"/>
      <c r="O4" s="874"/>
      <c r="P4" s="874"/>
      <c r="Q4" s="931"/>
      <c r="R4" s="3" t="s">
        <v>7</v>
      </c>
      <c r="S4" s="5" t="s">
        <v>8</v>
      </c>
      <c r="T4" s="3" t="s">
        <v>9</v>
      </c>
      <c r="U4" s="6" t="s">
        <v>10</v>
      </c>
      <c r="W4" s="888"/>
      <c r="X4" s="889"/>
      <c r="Y4" s="889"/>
      <c r="Z4" s="2"/>
      <c r="AA4" s="88" t="s">
        <v>144</v>
      </c>
      <c r="AB4" s="86" t="s">
        <v>133</v>
      </c>
      <c r="AC4" s="88" t="s">
        <v>136</v>
      </c>
      <c r="AD4" s="88" t="s">
        <v>138</v>
      </c>
      <c r="AE4" s="88" t="s">
        <v>143</v>
      </c>
      <c r="AF4" s="2"/>
      <c r="AG4" s="88" t="s">
        <v>145</v>
      </c>
      <c r="AH4" s="86" t="s">
        <v>133</v>
      </c>
      <c r="AI4" s="88" t="s">
        <v>136</v>
      </c>
      <c r="AJ4" s="88" t="s">
        <v>138</v>
      </c>
      <c r="AK4" s="548" t="s">
        <v>143</v>
      </c>
      <c r="AL4" s="112"/>
      <c r="AM4" s="869"/>
      <c r="AN4" s="52"/>
      <c r="AO4" s="867"/>
      <c r="AP4" s="870"/>
      <c r="AQ4" s="870"/>
      <c r="AR4" s="870"/>
      <c r="AS4" s="908"/>
      <c r="AT4" s="49"/>
      <c r="AU4" s="867"/>
      <c r="AV4" s="967" t="s">
        <v>99</v>
      </c>
      <c r="AW4" s="967" t="s">
        <v>100</v>
      </c>
      <c r="AX4" s="865"/>
      <c r="AY4" s="866"/>
      <c r="AZ4" s="47"/>
      <c r="BA4" s="905"/>
      <c r="BB4" s="906"/>
      <c r="BC4" s="909"/>
      <c r="BD4" s="907"/>
      <c r="BE4" s="2"/>
      <c r="BF4" s="904"/>
      <c r="BG4" s="887"/>
      <c r="BH4" s="900" t="s">
        <v>108</v>
      </c>
      <c r="BI4" s="902" t="s">
        <v>109</v>
      </c>
      <c r="BJ4" s="887" t="s">
        <v>124</v>
      </c>
      <c r="BK4" s="2"/>
      <c r="BL4" s="849"/>
      <c r="BM4" s="894"/>
      <c r="BN4" s="119"/>
      <c r="BO4" s="849"/>
      <c r="BP4" s="851"/>
      <c r="BR4" s="883"/>
      <c r="BS4" s="884"/>
    </row>
    <row r="5" spans="1:71" ht="20.100000000000001" customHeight="1" thickBot="1" x14ac:dyDescent="0.25">
      <c r="A5" s="630" t="s">
        <v>236</v>
      </c>
      <c r="B5" s="173">
        <f>+'Input Page'!D34</f>
        <v>70.141499999999994</v>
      </c>
      <c r="C5" s="174">
        <f>+'Input Page'!E34</f>
        <v>-0.30069930069930073</v>
      </c>
      <c r="D5" s="174">
        <f>+'Input Page'!F34</f>
        <v>3.4671328671328676</v>
      </c>
      <c r="E5" s="173">
        <f>+'Input Page'!G34</f>
        <v>-243.18990000000002</v>
      </c>
      <c r="F5" s="175">
        <f>+'Input Page'!H34</f>
        <v>-21.0915</v>
      </c>
      <c r="G5" s="167"/>
      <c r="H5" s="167"/>
      <c r="I5" s="176"/>
      <c r="J5" s="176"/>
      <c r="K5" s="176"/>
      <c r="L5" s="872"/>
      <c r="M5" s="874"/>
      <c r="N5" s="874"/>
      <c r="O5" s="874"/>
      <c r="P5" s="874"/>
      <c r="Q5" s="931"/>
      <c r="R5" s="81"/>
      <c r="S5" s="82"/>
      <c r="T5" s="83"/>
      <c r="U5" s="6"/>
      <c r="W5" s="888"/>
      <c r="X5" s="889"/>
      <c r="Y5" s="889"/>
      <c r="Z5" s="2"/>
      <c r="AA5" s="88" t="s">
        <v>146</v>
      </c>
      <c r="AB5" s="87" t="s">
        <v>7</v>
      </c>
      <c r="AC5" s="86" t="s">
        <v>7</v>
      </c>
      <c r="AD5" s="88" t="s">
        <v>7</v>
      </c>
      <c r="AE5" s="88" t="s">
        <v>142</v>
      </c>
      <c r="AF5" s="2"/>
      <c r="AG5" s="88" t="s">
        <v>146</v>
      </c>
      <c r="AH5" s="87" t="s">
        <v>7</v>
      </c>
      <c r="AI5" s="86" t="s">
        <v>7</v>
      </c>
      <c r="AJ5" s="88" t="s">
        <v>7</v>
      </c>
      <c r="AK5" s="548" t="s">
        <v>142</v>
      </c>
      <c r="AL5" s="112"/>
      <c r="AM5" s="869"/>
      <c r="AN5" s="52"/>
      <c r="AO5" s="867"/>
      <c r="AP5" s="870"/>
      <c r="AQ5" s="870"/>
      <c r="AR5" s="870"/>
      <c r="AS5" s="908"/>
      <c r="AT5" s="48"/>
      <c r="AU5" s="867"/>
      <c r="AV5" s="968"/>
      <c r="AW5" s="968"/>
      <c r="AX5" s="865"/>
      <c r="AY5" s="866"/>
      <c r="AZ5" s="47"/>
      <c r="BA5" s="905"/>
      <c r="BB5" s="906"/>
      <c r="BC5" s="909"/>
      <c r="BD5" s="907"/>
      <c r="BE5" s="2"/>
      <c r="BF5" s="904"/>
      <c r="BG5" s="887"/>
      <c r="BH5" s="901"/>
      <c r="BI5" s="903"/>
      <c r="BJ5" s="887"/>
      <c r="BK5" s="2"/>
      <c r="BL5" s="849"/>
      <c r="BM5" s="894"/>
      <c r="BN5" s="119"/>
      <c r="BO5" s="849"/>
      <c r="BP5" s="851"/>
      <c r="BR5" s="507" t="s">
        <v>121</v>
      </c>
      <c r="BS5" s="512" t="s">
        <v>122</v>
      </c>
    </row>
    <row r="6" spans="1:71" ht="20.100000000000001" customHeight="1" x14ac:dyDescent="0.25">
      <c r="A6" s="177" t="s">
        <v>83</v>
      </c>
      <c r="B6" s="178">
        <f>+'Input Page'!D35</f>
        <v>39.24</v>
      </c>
      <c r="C6" s="179">
        <f>+'Input Page'!E35</f>
        <v>9.9999999999999992E-25</v>
      </c>
      <c r="D6" s="179">
        <f>+'Input Page'!F35</f>
        <v>-2.4500000000000002</v>
      </c>
      <c r="E6" s="178">
        <f>+'Input Page'!G35</f>
        <v>96.138000000000005</v>
      </c>
      <c r="F6" s="180">
        <f>+'Input Page'!H35</f>
        <v>0</v>
      </c>
      <c r="G6" s="817" t="s">
        <v>90</v>
      </c>
      <c r="H6" s="921" t="s">
        <v>89</v>
      </c>
      <c r="I6" s="181"/>
      <c r="J6" s="182"/>
      <c r="K6" s="176"/>
      <c r="L6" s="412">
        <v>0</v>
      </c>
      <c r="M6" s="7">
        <f t="shared" ref="M6:M29" si="0">+IF(ABS(BI6)&gt;$I$26/2,"ERROR",IF(ABS(BI6)&gt;$I$26/6,$B$27/(3*($I$26/2-ABS(BI6))*2*$I$27),$B$27/(2*$I$26*$I$27)))</f>
        <v>70.640965615401896</v>
      </c>
      <c r="N6" s="7">
        <f t="shared" ref="N6:N29" si="1">+((($I$28/2)-$BH6)*Y6*2)/$I$28</f>
        <v>127.85184760982825</v>
      </c>
      <c r="O6" s="7">
        <f t="shared" ref="O6:O29" si="2">+((($I$28/2)-$BH6)*X6*2)/$I$28</f>
        <v>18.217980569333964</v>
      </c>
      <c r="P6" s="7">
        <f t="shared" ref="P6:P29" si="3">+(BH6+$I$28/2)*Y6*2/$I$28</f>
        <v>119.47035666616455</v>
      </c>
      <c r="Q6" s="8">
        <f t="shared" ref="Q6:Q29" si="4">+((BH6+$I$28/2)*X6*2)/$I$28</f>
        <v>17.023677616280853</v>
      </c>
      <c r="R6" s="77">
        <f>+IF(N6&gt;P6,AB6,AH6)</f>
        <v>0.47710465387779066</v>
      </c>
      <c r="S6" s="78">
        <f>+IF(N6&gt;P6,AC6,AI6)</f>
        <v>3.8140000000000001</v>
      </c>
      <c r="T6" s="80">
        <f>+IF(N6&gt;P6,AD6,AJ6)</f>
        <v>2.8597906922444185</v>
      </c>
      <c r="U6" s="79">
        <f>+MAX(AE6,AK6)</f>
        <v>97.404038377034851</v>
      </c>
      <c r="W6" s="549" t="str">
        <f>+IF(BI6&lt;0,"Max @ Rear","Max @ Front")</f>
        <v>Max @ Front</v>
      </c>
      <c r="X6" s="76">
        <f>+IF(ABS(BI6)&gt;$I$26/2,"ERROR",IF(ABS(BH6)&gt;$I$28/2,"ERROR",IF(ABS(BI6)&lt;$I$26/6,($B$27/(2*$I$27*$I$26)*(1-(6*ABS(BI6)/$I$26))),0)))</f>
        <v>17.620829092807409</v>
      </c>
      <c r="Y6" s="76">
        <f>+IF(ABS(BI6)&gt;$I$26/2,"ERROR",IF(ABS(BH6)&gt;$I$28/2,"ERROR",IF(ABS(BI6)&lt;$I$26/6,($B$27/(2*$I$27*$I$26)*(1+(6*ABS(BI6)/$I$26))),($B$27/(3*$I$27*($I$26/2-ABS(BI6)))))))</f>
        <v>123.66110213799639</v>
      </c>
      <c r="Z6" s="2"/>
      <c r="AA6" s="115">
        <f t="shared" ref="AA6:AA30" si="5">+(($I$28/2-BH6)*$B$27)/($I$28)</f>
        <v>194.98861363636362</v>
      </c>
      <c r="AB6" s="90">
        <f>+BI6</f>
        <v>0.47710465387779066</v>
      </c>
      <c r="AC6" s="91">
        <f t="shared" ref="AC6:AC29" si="6">+IF(O6&gt;0,$I$26,AA6/(N6*$I$27*0.5))</f>
        <v>3.8140000000000001</v>
      </c>
      <c r="AD6" s="92">
        <f t="shared" ref="AD6:AD29" si="7">+($I$26/2-ABS(AB6))*2</f>
        <v>2.8597906922444185</v>
      </c>
      <c r="AE6" s="43">
        <f t="shared" ref="AE6:AE29" si="8">+IF(O6&gt;0,((O6*$I$26)+((N6-O6)*$I$26/2))/AD6,3*N6/4)</f>
        <v>97.404038377034851</v>
      </c>
      <c r="AF6" s="2"/>
      <c r="AG6" s="89">
        <f t="shared" ref="AG6:AG29" si="9">+$B$27-AA6</f>
        <v>182.20588636363632</v>
      </c>
      <c r="AH6" s="90">
        <f>+BI6</f>
        <v>0.47710465387779066</v>
      </c>
      <c r="AI6" s="91">
        <f t="shared" ref="AI6:AI29" si="10">+IF(O6&gt;0,$I$26,AA6/(N6*$I$27*0.5))</f>
        <v>3.8140000000000001</v>
      </c>
      <c r="AJ6" s="92">
        <f t="shared" ref="AJ6:AJ29" si="11">+($I$26/2-ABS(AH6))*2</f>
        <v>2.8597906922444185</v>
      </c>
      <c r="AK6" s="550">
        <f t="shared" ref="AK6:AK29" si="12">+IF(Q6&gt;0,((Q6*$I$26)+((P6-Q6)*$I$26/2))/AJ6,3*P6/4)</f>
        <v>91.018592403466968</v>
      </c>
      <c r="AL6" s="42"/>
      <c r="AM6" s="521">
        <f t="shared" ref="AM6:AM29" si="13">+L6</f>
        <v>0</v>
      </c>
      <c r="AN6" s="522"/>
      <c r="AO6" s="60">
        <f>+B24</f>
        <v>98.1</v>
      </c>
      <c r="AP6" s="74">
        <f>+C24</f>
        <v>0</v>
      </c>
      <c r="AQ6" s="74">
        <f>+D24</f>
        <v>0</v>
      </c>
      <c r="AR6" s="61">
        <f>+E24</f>
        <v>0</v>
      </c>
      <c r="AS6" s="62">
        <f>+F24</f>
        <v>0</v>
      </c>
      <c r="AT6" s="67"/>
      <c r="AU6" s="63">
        <f t="shared" ref="AU6:AU30" si="14">+$B$16</f>
        <v>279.09449999999998</v>
      </c>
      <c r="AV6" s="64">
        <f t="shared" ref="AV6:AV30" si="15">+$C$16</f>
        <v>-7.5571177504393683E-2</v>
      </c>
      <c r="AW6" s="64">
        <f t="shared" ref="AW6:AW30" si="16">+$D$16</f>
        <v>0.64480400497718982</v>
      </c>
      <c r="AX6" s="68">
        <f>+DEGREES(ATAN(AV6/AW6))</f>
        <v>-6.6845835853794027</v>
      </c>
      <c r="AY6" s="72">
        <f>+(AV6^2+AW6^2)^0.5</f>
        <v>0.64921738093186043</v>
      </c>
      <c r="AZ6" s="523"/>
      <c r="BA6" s="65">
        <f>+AY6*(SIN(RADIANS(AX6+AM6)))</f>
        <v>-7.5571177504393683E-2</v>
      </c>
      <c r="BB6" s="66">
        <f>+AY6*(COS(RADIANS(AX6+AM6)))</f>
        <v>0.64480400497718982</v>
      </c>
      <c r="BC6" s="117">
        <f>+BB6*AU6*-1</f>
        <v>-179.96125136710629</v>
      </c>
      <c r="BD6" s="62">
        <f>+BA6*AU6</f>
        <v>-21.0915</v>
      </c>
      <c r="BE6" s="67"/>
      <c r="BF6" s="60">
        <f>+BC6+AR6</f>
        <v>-179.96125136710629</v>
      </c>
      <c r="BG6" s="61">
        <f>+BD6+AS6</f>
        <v>-21.0915</v>
      </c>
      <c r="BH6" s="116">
        <f>+IF(BG6=0,1E-24/(AO6+AU6),(BG6/(AO6+AU6)))</f>
        <v>-5.5916775032509761E-2</v>
      </c>
      <c r="BI6" s="128">
        <f>+IF(BF6=0,1E-24/(AO6+AU6)*-1,BF6/(AO6+AU6)*-1)</f>
        <v>0.47710465387779066</v>
      </c>
      <c r="BJ6" s="66" t="str">
        <f t="shared" ref="BJ6:BJ30" si="17">+IF(ABS(BI6)&gt;($I$26/6),"yes","no")</f>
        <v>no</v>
      </c>
      <c r="BK6" s="2"/>
      <c r="BL6" s="71">
        <f>+(BF6^2+BG6^2)^0.5</f>
        <v>181.19300032248714</v>
      </c>
      <c r="BM6" s="524">
        <f>+DEGREES(ATAN(BH6/BI6))</f>
        <v>-6.6845835853794027</v>
      </c>
      <c r="BN6" s="120"/>
      <c r="BO6" s="577">
        <f>+ABS(BH6/($I$28/2))</f>
        <v>3.3888954565157434E-2</v>
      </c>
      <c r="BP6" s="578">
        <f>+ABS(BI6)/($I$26/2)</f>
        <v>0.25018597476549065</v>
      </c>
      <c r="BR6" s="507" t="str">
        <f>+IF(ABS(BI6)&gt;$I$26/2,"YES-ERROR","NO-OK")</f>
        <v>NO-OK</v>
      </c>
      <c r="BS6" s="512" t="str">
        <f>+IF(ABS(BH6)&gt;$I$28/2,"YES-ERROR","NO-OK")</f>
        <v>NO-OK</v>
      </c>
    </row>
    <row r="7" spans="1:71" ht="20.100000000000001" customHeight="1" x14ac:dyDescent="0.25">
      <c r="A7" s="183" t="s">
        <v>85</v>
      </c>
      <c r="B7" s="184">
        <f>+'Input Page'!D36</f>
        <v>9.9999999999999992E-25</v>
      </c>
      <c r="C7" s="185">
        <f>+'Input Page'!E36</f>
        <v>9.9999999999999992E-25</v>
      </c>
      <c r="D7" s="185">
        <f>+'Input Page'!F36</f>
        <v>9.9999999999999992E-25</v>
      </c>
      <c r="E7" s="184">
        <f>+'Input Page'!G36</f>
        <v>0</v>
      </c>
      <c r="F7" s="186">
        <f>+'Input Page'!H36</f>
        <v>0</v>
      </c>
      <c r="G7" s="818"/>
      <c r="H7" s="922"/>
      <c r="I7" s="181"/>
      <c r="J7" s="182"/>
      <c r="K7" s="176"/>
      <c r="L7" s="413">
        <f>+IF('Input Page'!$G$68="YES",Standing!L6+15,0)</f>
        <v>15</v>
      </c>
      <c r="M7" s="9">
        <f t="shared" si="0"/>
        <v>70.640965615401896</v>
      </c>
      <c r="N7" s="9">
        <f t="shared" si="1"/>
        <v>118.26444887783073</v>
      </c>
      <c r="O7" s="9">
        <f t="shared" si="2"/>
        <v>17.068886800675809</v>
      </c>
      <c r="P7" s="9">
        <f t="shared" si="3"/>
        <v>128.66110940588834</v>
      </c>
      <c r="Q7" s="10">
        <f t="shared" si="4"/>
        <v>18.569417377212705</v>
      </c>
      <c r="R7" s="11">
        <f t="shared" ref="R7:R29" si="18">+IF(N7&gt;P7,AB7,AH7)</f>
        <v>0.47532003334239159</v>
      </c>
      <c r="S7" s="12">
        <f t="shared" ref="S7:S29" si="19">+IF(N7&gt;P7,AC7,AI7)</f>
        <v>3.8140000000000001</v>
      </c>
      <c r="T7" s="13">
        <f t="shared" ref="T7:T29" si="20">+IF(N7&gt;P7,AD7,AJ7)</f>
        <v>2.8633599333152171</v>
      </c>
      <c r="U7" s="14">
        <f t="shared" ref="U7:U29" si="21">+MAX(AE7,AK7)</f>
        <v>98.055648299268455</v>
      </c>
      <c r="W7" s="549" t="str">
        <f t="shared" ref="W7:W29" si="22">+IF(BI7&lt;0,"Max @ Rear","Max @ Front")</f>
        <v>Max @ Front</v>
      </c>
      <c r="X7" s="76">
        <f t="shared" ref="X7:X30" si="23">+IF(ABS(BI7)&gt;$I$26/2,"ERROR",IF(ABS(BH7)&gt;$I$28/2,"ERROR",IF(ABS(BI7)&lt;$I$26/6,($B$27/(2*$I$27*$I$26)*(1-(6*ABS(BI7)/$I$26))),0)))</f>
        <v>17.819152088944257</v>
      </c>
      <c r="Y7" s="76">
        <f t="shared" ref="Y7:Y30" si="24">+IF(ABS(BI7)&gt;$I$26/2,"ERROR",IF(ABS(BH7)&gt;$I$28/2,"ERROR",IF(ABS(BI7)&lt;$I$26/6,($B$27/(2*$I$27*$I$26)*(1+(6*ABS(BI7)/$I$26))),($B$27/(3*$I$27*($I$26/2-ABS(BI7)))))))</f>
        <v>123.46277914185953</v>
      </c>
      <c r="Z7" s="2"/>
      <c r="AA7" s="89">
        <f t="shared" si="5"/>
        <v>180.65646979723837</v>
      </c>
      <c r="AB7" s="90">
        <f t="shared" ref="AB7:AB29" si="25">+BI7</f>
        <v>0.47532003334239159</v>
      </c>
      <c r="AC7" s="91">
        <f t="shared" si="6"/>
        <v>3.8140000000000001</v>
      </c>
      <c r="AD7" s="92">
        <f t="shared" si="7"/>
        <v>2.8633599333152171</v>
      </c>
      <c r="AE7" s="43">
        <f t="shared" si="8"/>
        <v>90.132109531931761</v>
      </c>
      <c r="AF7" s="2"/>
      <c r="AG7" s="89">
        <f t="shared" si="9"/>
        <v>196.53803020276158</v>
      </c>
      <c r="AH7" s="90">
        <f t="shared" ref="AH7:AH29" si="26">+BI7</f>
        <v>0.47532003334239159</v>
      </c>
      <c r="AI7" s="91">
        <f t="shared" si="10"/>
        <v>3.8140000000000001</v>
      </c>
      <c r="AJ7" s="92">
        <f t="shared" si="11"/>
        <v>2.8633599333152171</v>
      </c>
      <c r="AK7" s="550">
        <f t="shared" si="12"/>
        <v>98.055648299268455</v>
      </c>
      <c r="AL7" s="42"/>
      <c r="AM7" s="525">
        <f t="shared" si="13"/>
        <v>15</v>
      </c>
      <c r="AN7" s="526"/>
      <c r="AO7" s="54">
        <f>+AO$6</f>
        <v>98.1</v>
      </c>
      <c r="AP7" s="75">
        <f t="shared" ref="AP7:AS22" si="27">+AP$6</f>
        <v>0</v>
      </c>
      <c r="AQ7" s="75">
        <f t="shared" si="27"/>
        <v>0</v>
      </c>
      <c r="AR7" s="53">
        <f t="shared" si="27"/>
        <v>0</v>
      </c>
      <c r="AS7" s="55">
        <f t="shared" si="27"/>
        <v>0</v>
      </c>
      <c r="AT7" s="2"/>
      <c r="AU7" s="51">
        <f t="shared" si="14"/>
        <v>279.09449999999998</v>
      </c>
      <c r="AV7" s="50">
        <f t="shared" si="15"/>
        <v>-7.5571177504393683E-2</v>
      </c>
      <c r="AW7" s="50">
        <f t="shared" si="16"/>
        <v>0.64480400497718982</v>
      </c>
      <c r="AX7" s="69">
        <f t="shared" ref="AX7:AX29" si="28">+DEGREES(ATAN(AV7/AW7))</f>
        <v>-6.6845835853794027</v>
      </c>
      <c r="AY7" s="73">
        <f t="shared" ref="AY7:AY29" si="29">+(AV7^2+AW7^2)^0.5</f>
        <v>0.64921738093186043</v>
      </c>
      <c r="AZ7" s="527"/>
      <c r="BA7" s="58">
        <f t="shared" ref="BA7:BA29" si="30">+AY7*(SIN(RADIANS(AX7+AM7)))</f>
        <v>9.3891404771907966E-2</v>
      </c>
      <c r="BB7" s="57">
        <f t="shared" ref="BB7:BB29" si="31">+AY7*(COS(RADIANS(AX7+AM7)))</f>
        <v>0.64239210130105284</v>
      </c>
      <c r="BC7" s="53">
        <f t="shared" ref="BC7:BC30" si="32">+BB7*AU7*-1</f>
        <v>-179.28810231656669</v>
      </c>
      <c r="BD7" s="55">
        <f t="shared" ref="BD7:BD30" si="33">+BA7*AU7</f>
        <v>26.204574669113267</v>
      </c>
      <c r="BE7" s="2"/>
      <c r="BF7" s="54">
        <f t="shared" ref="BF7:BF30" si="34">+BC7+AR7</f>
        <v>-179.28810231656669</v>
      </c>
      <c r="BG7" s="53">
        <f t="shared" ref="BG7:BG30" si="35">+BD7+AS7</f>
        <v>26.204574669113267</v>
      </c>
      <c r="BH7" s="57">
        <f t="shared" ref="BH7:BH30" si="36">+IF(BG7=0,1E-24/(AO7+AU7),(BG7/(AO7+AU7)))</f>
        <v>6.9472313803921507E-2</v>
      </c>
      <c r="BI7" s="129">
        <f t="shared" ref="BI7:BI30" si="37">+IF(BF7=0,1E-24/(AO7+AU7)*-1,BF7/(AO7+AU7)*-1)</f>
        <v>0.47532003334239159</v>
      </c>
      <c r="BJ7" s="66" t="str">
        <f t="shared" si="17"/>
        <v>no</v>
      </c>
      <c r="BK7" s="2"/>
      <c r="BL7" s="70">
        <f t="shared" ref="BL7:BL30" si="38">+(BF7^2+BG7^2)^0.5</f>
        <v>181.19300032248714</v>
      </c>
      <c r="BM7" s="528">
        <f t="shared" ref="BM7:BM30" si="39">+DEGREES(ATAN(BH7/BI7))</f>
        <v>8.3154164146205947</v>
      </c>
      <c r="BN7" s="121"/>
      <c r="BO7" s="577">
        <f t="shared" ref="BO7:BO30" si="40">+ABS(BH7/($I$28/2))</f>
        <v>4.2104432608437277E-2</v>
      </c>
      <c r="BP7" s="578">
        <f t="shared" ref="BP7:BP30" si="41">+ABS(BI7)/($I$26/2)</f>
        <v>0.24925014858017389</v>
      </c>
      <c r="BR7" s="507" t="str">
        <f t="shared" ref="BR7:BR30" si="42">+IF(ABS(BI7)&gt;$I$26/2,"YES-ERROR","NO-OK")</f>
        <v>NO-OK</v>
      </c>
      <c r="BS7" s="512" t="str">
        <f t="shared" ref="BS7:BS30" si="43">+IF(ABS(BH7)&gt;$I$28/2,"YES-ERROR","NO-OK")</f>
        <v>NO-OK</v>
      </c>
    </row>
    <row r="8" spans="1:71" ht="19.5" customHeight="1" thickBot="1" x14ac:dyDescent="0.3">
      <c r="A8" s="187" t="s">
        <v>214</v>
      </c>
      <c r="B8" s="188">
        <f>+'Input Page'!D33</f>
        <v>114.777</v>
      </c>
      <c r="C8" s="189">
        <f>+'Input Page'!E33</f>
        <v>9.9999999999999992E-25</v>
      </c>
      <c r="D8" s="189">
        <f>+'Input Page'!F33</f>
        <v>-1.0247287229400814</v>
      </c>
      <c r="E8" s="188">
        <f>+'Input Page'!G33</f>
        <v>117.61528863289372</v>
      </c>
      <c r="F8" s="190">
        <f>+'Input Page'!H33</f>
        <v>0</v>
      </c>
      <c r="G8" s="191"/>
      <c r="H8" s="192"/>
      <c r="I8" s="182"/>
      <c r="J8" s="182"/>
      <c r="K8" s="176"/>
      <c r="L8" s="413">
        <f>+IF('Input Page'!$G$68="YES",Standing!L7+15,0)</f>
        <v>30</v>
      </c>
      <c r="M8" s="9">
        <f t="shared" si="0"/>
        <v>70.640965615401896</v>
      </c>
      <c r="N8" s="9">
        <f t="shared" si="1"/>
        <v>105.8759520334324</v>
      </c>
      <c r="O8" s="9">
        <f t="shared" si="2"/>
        <v>19.126278100788589</v>
      </c>
      <c r="P8" s="9">
        <f t="shared" si="3"/>
        <v>133.45352165870506</v>
      </c>
      <c r="Q8" s="10">
        <f t="shared" si="4"/>
        <v>24.108110668681533</v>
      </c>
      <c r="R8" s="11">
        <f t="shared" si="18"/>
        <v>0.44114313803820338</v>
      </c>
      <c r="S8" s="12">
        <f t="shared" si="19"/>
        <v>3.8140000000000001</v>
      </c>
      <c r="T8" s="13">
        <f t="shared" si="20"/>
        <v>2.9317137239235933</v>
      </c>
      <c r="U8" s="14">
        <f t="shared" si="21"/>
        <v>102.48955428233249</v>
      </c>
      <c r="W8" s="549" t="str">
        <f t="shared" si="22"/>
        <v>Max @ Front</v>
      </c>
      <c r="X8" s="76">
        <f t="shared" si="23"/>
        <v>21.617194384735061</v>
      </c>
      <c r="Y8" s="76">
        <f t="shared" si="24"/>
        <v>119.66473684606873</v>
      </c>
      <c r="Z8" s="2"/>
      <c r="AA8" s="89">
        <f t="shared" si="5"/>
        <v>166.8654770061716</v>
      </c>
      <c r="AB8" s="90">
        <f t="shared" si="25"/>
        <v>0.44114313803820338</v>
      </c>
      <c r="AC8" s="91">
        <f t="shared" si="6"/>
        <v>3.8140000000000001</v>
      </c>
      <c r="AD8" s="92">
        <f t="shared" si="7"/>
        <v>2.9317137239235933</v>
      </c>
      <c r="AE8" s="43">
        <f t="shared" si="8"/>
        <v>81.310549157893192</v>
      </c>
      <c r="AF8" s="2"/>
      <c r="AG8" s="89">
        <f t="shared" si="9"/>
        <v>210.32902299382835</v>
      </c>
      <c r="AH8" s="90">
        <f t="shared" si="26"/>
        <v>0.44114313803820338</v>
      </c>
      <c r="AI8" s="91">
        <f t="shared" si="10"/>
        <v>3.8140000000000001</v>
      </c>
      <c r="AJ8" s="92">
        <f t="shared" si="11"/>
        <v>2.9317137239235933</v>
      </c>
      <c r="AK8" s="550">
        <f t="shared" si="12"/>
        <v>102.48955428233249</v>
      </c>
      <c r="AL8" s="42"/>
      <c r="AM8" s="525">
        <f t="shared" si="13"/>
        <v>30</v>
      </c>
      <c r="AN8" s="526"/>
      <c r="AO8" s="54">
        <f t="shared" ref="AO8:AS30" si="44">+AO$6</f>
        <v>98.1</v>
      </c>
      <c r="AP8" s="75">
        <f t="shared" si="27"/>
        <v>0</v>
      </c>
      <c r="AQ8" s="75">
        <f t="shared" si="27"/>
        <v>0</v>
      </c>
      <c r="AR8" s="53">
        <f t="shared" si="27"/>
        <v>0</v>
      </c>
      <c r="AS8" s="55">
        <f t="shared" si="27"/>
        <v>0</v>
      </c>
      <c r="AT8" s="2"/>
      <c r="AU8" s="51">
        <f t="shared" si="14"/>
        <v>279.09449999999998</v>
      </c>
      <c r="AV8" s="50">
        <f t="shared" si="15"/>
        <v>-7.5571177504393683E-2</v>
      </c>
      <c r="AW8" s="50">
        <f t="shared" si="16"/>
        <v>0.64480400497718982</v>
      </c>
      <c r="AX8" s="69">
        <f t="shared" si="28"/>
        <v>-6.6845835853794027</v>
      </c>
      <c r="AY8" s="73">
        <f t="shared" si="29"/>
        <v>0.64921738093186043</v>
      </c>
      <c r="AZ8" s="527"/>
      <c r="BA8" s="58">
        <f t="shared" si="30"/>
        <v>0.25695544297588685</v>
      </c>
      <c r="BB8" s="57">
        <f t="shared" si="31"/>
        <v>0.59620223752439083</v>
      </c>
      <c r="BC8" s="53">
        <f t="shared" si="32"/>
        <v>-166.39676538075108</v>
      </c>
      <c r="BD8" s="55">
        <f t="shared" si="33"/>
        <v>71.714850879633644</v>
      </c>
      <c r="BE8" s="2"/>
      <c r="BF8" s="54">
        <f t="shared" si="34"/>
        <v>-166.39676538075108</v>
      </c>
      <c r="BG8" s="53">
        <f t="shared" si="35"/>
        <v>71.714850879633644</v>
      </c>
      <c r="BH8" s="57">
        <f t="shared" si="36"/>
        <v>0.19012697926304242</v>
      </c>
      <c r="BI8" s="129">
        <f t="shared" si="37"/>
        <v>0.44114313803820338</v>
      </c>
      <c r="BJ8" s="66" t="str">
        <f t="shared" si="17"/>
        <v>no</v>
      </c>
      <c r="BK8" s="2"/>
      <c r="BL8" s="70">
        <f t="shared" si="38"/>
        <v>181.19300032248711</v>
      </c>
      <c r="BM8" s="528">
        <f t="shared" si="39"/>
        <v>23.315416414620596</v>
      </c>
      <c r="BN8" s="121"/>
      <c r="BO8" s="577">
        <f t="shared" si="40"/>
        <v>0.11522847228063178</v>
      </c>
      <c r="BP8" s="578">
        <f t="shared" si="41"/>
        <v>0.23132833667446429</v>
      </c>
      <c r="BR8" s="507" t="str">
        <f t="shared" si="42"/>
        <v>NO-OK</v>
      </c>
      <c r="BS8" s="512" t="str">
        <f t="shared" si="43"/>
        <v>NO-OK</v>
      </c>
    </row>
    <row r="9" spans="1:71" ht="19.5" customHeight="1" thickBot="1" x14ac:dyDescent="0.3">
      <c r="A9" s="193" t="s">
        <v>220</v>
      </c>
      <c r="B9" s="194">
        <f>+IF(G9&gt;0,+G9-B5,0)</f>
        <v>0</v>
      </c>
      <c r="C9" s="195">
        <f>+'Input Page'!E48</f>
        <v>-0.30069930069930073</v>
      </c>
      <c r="D9" s="195">
        <f>+'Input Page'!F48</f>
        <v>3.4671328671328676</v>
      </c>
      <c r="E9" s="196">
        <f>+B9*D9*-1</f>
        <v>0</v>
      </c>
      <c r="F9" s="197">
        <f>+B9*C9</f>
        <v>0</v>
      </c>
      <c r="G9" s="618">
        <v>0</v>
      </c>
      <c r="H9" s="199">
        <f>+'Input Page'!D48</f>
        <v>392</v>
      </c>
      <c r="I9" s="181"/>
      <c r="J9" s="181"/>
      <c r="K9" s="176"/>
      <c r="L9" s="413">
        <f>+IF('Input Page'!$G$68="YES",Standing!L8+15,0)</f>
        <v>45</v>
      </c>
      <c r="M9" s="9">
        <f t="shared" si="0"/>
        <v>70.640965615401896</v>
      </c>
      <c r="N9" s="9">
        <f t="shared" si="1"/>
        <v>92.214910932631383</v>
      </c>
      <c r="O9" s="9">
        <f t="shared" si="2"/>
        <v>23.56564838355807</v>
      </c>
      <c r="P9" s="9">
        <f t="shared" si="3"/>
        <v>132.83670018040965</v>
      </c>
      <c r="Q9" s="10">
        <f t="shared" si="4"/>
        <v>33.946602965008495</v>
      </c>
      <c r="R9" s="11">
        <f t="shared" si="18"/>
        <v>0.37690306690021674</v>
      </c>
      <c r="S9" s="12">
        <f t="shared" si="19"/>
        <v>3.8140000000000001</v>
      </c>
      <c r="T9" s="13">
        <f t="shared" si="20"/>
        <v>3.0601938661995667</v>
      </c>
      <c r="U9" s="14">
        <f t="shared" si="21"/>
        <v>103.93320587015738</v>
      </c>
      <c r="W9" s="549" t="str">
        <f t="shared" si="22"/>
        <v>Max @ Front</v>
      </c>
      <c r="X9" s="76">
        <f t="shared" si="23"/>
        <v>28.756125674283279</v>
      </c>
      <c r="Y9" s="76">
        <f t="shared" si="24"/>
        <v>112.52580555652051</v>
      </c>
      <c r="Z9" s="2"/>
      <c r="AA9" s="89">
        <f t="shared" si="5"/>
        <v>154.5554686311813</v>
      </c>
      <c r="AB9" s="90">
        <f t="shared" si="25"/>
        <v>0.37690306690021674</v>
      </c>
      <c r="AC9" s="91">
        <f t="shared" si="6"/>
        <v>3.8140000000000001</v>
      </c>
      <c r="AD9" s="92">
        <f t="shared" si="7"/>
        <v>3.0601938661995667</v>
      </c>
      <c r="AE9" s="43">
        <f t="shared" si="8"/>
        <v>72.150176188077666</v>
      </c>
      <c r="AF9" s="2"/>
      <c r="AG9" s="89">
        <f t="shared" si="9"/>
        <v>222.63903136881865</v>
      </c>
      <c r="AH9" s="90">
        <f t="shared" si="26"/>
        <v>0.37690306690021674</v>
      </c>
      <c r="AI9" s="91">
        <f t="shared" si="10"/>
        <v>3.8140000000000001</v>
      </c>
      <c r="AJ9" s="92">
        <f t="shared" si="11"/>
        <v>3.0601938661995667</v>
      </c>
      <c r="AK9" s="550">
        <f t="shared" si="12"/>
        <v>103.93320587015738</v>
      </c>
      <c r="AL9" s="42"/>
      <c r="AM9" s="525">
        <f t="shared" si="13"/>
        <v>45</v>
      </c>
      <c r="AN9" s="526"/>
      <c r="AO9" s="54">
        <f t="shared" si="44"/>
        <v>98.1</v>
      </c>
      <c r="AP9" s="75">
        <f t="shared" si="27"/>
        <v>0</v>
      </c>
      <c r="AQ9" s="75">
        <f t="shared" si="27"/>
        <v>0</v>
      </c>
      <c r="AR9" s="53">
        <f t="shared" si="27"/>
        <v>0</v>
      </c>
      <c r="AS9" s="55">
        <f t="shared" si="27"/>
        <v>0</v>
      </c>
      <c r="AT9" s="2"/>
      <c r="AU9" s="51">
        <f t="shared" si="14"/>
        <v>279.09449999999998</v>
      </c>
      <c r="AV9" s="50">
        <f t="shared" si="15"/>
        <v>-7.5571177504393683E-2</v>
      </c>
      <c r="AW9" s="50">
        <f t="shared" si="16"/>
        <v>0.64480400497718982</v>
      </c>
      <c r="AX9" s="69">
        <f t="shared" si="28"/>
        <v>-6.6845835853794027</v>
      </c>
      <c r="AY9" s="73">
        <f t="shared" si="29"/>
        <v>0.64921738093186043</v>
      </c>
      <c r="AZ9" s="527"/>
      <c r="BA9" s="58">
        <f t="shared" si="30"/>
        <v>0.40250839238000624</v>
      </c>
      <c r="BB9" s="57">
        <f t="shared" si="31"/>
        <v>0.50938217653122431</v>
      </c>
      <c r="BC9" s="53">
        <f t="shared" si="32"/>
        <v>-142.16576386789379</v>
      </c>
      <c r="BD9" s="55">
        <f t="shared" si="33"/>
        <v>112.33787851710164</v>
      </c>
      <c r="BE9" s="2"/>
      <c r="BF9" s="54">
        <f t="shared" si="34"/>
        <v>-142.16576386789379</v>
      </c>
      <c r="BG9" s="53">
        <f t="shared" si="35"/>
        <v>112.33787851710164</v>
      </c>
      <c r="BH9" s="57">
        <f t="shared" si="36"/>
        <v>0.29782480528507616</v>
      </c>
      <c r="BI9" s="129">
        <f t="shared" si="37"/>
        <v>0.37690306690021674</v>
      </c>
      <c r="BJ9" s="66" t="str">
        <f t="shared" si="17"/>
        <v>no</v>
      </c>
      <c r="BK9" s="2"/>
      <c r="BL9" s="70">
        <f t="shared" si="38"/>
        <v>181.19300032248714</v>
      </c>
      <c r="BM9" s="528">
        <f t="shared" si="39"/>
        <v>38.3154164146206</v>
      </c>
      <c r="BN9" s="121"/>
      <c r="BO9" s="577">
        <f t="shared" si="40"/>
        <v>0.18049988199095526</v>
      </c>
      <c r="BP9" s="578">
        <f t="shared" si="41"/>
        <v>0.19764188091254156</v>
      </c>
      <c r="BR9" s="507" t="str">
        <f t="shared" si="42"/>
        <v>NO-OK</v>
      </c>
      <c r="BS9" s="512" t="str">
        <f t="shared" si="43"/>
        <v>NO-OK</v>
      </c>
    </row>
    <row r="10" spans="1:71" ht="20.100000000000001" customHeight="1" x14ac:dyDescent="0.25">
      <c r="A10" s="200" t="s">
        <v>215</v>
      </c>
      <c r="B10" s="201">
        <f>+IF(G10&lt;0,+G10-B5,0)</f>
        <v>0</v>
      </c>
      <c r="C10" s="202">
        <f>+'Input Page'!E49</f>
        <v>-0.30069930069930073</v>
      </c>
      <c r="D10" s="202">
        <f>+'Input Page'!F49</f>
        <v>3.4671328671328676</v>
      </c>
      <c r="E10" s="203">
        <f t="shared" ref="E10:E15" si="45">+B10*D10*-1</f>
        <v>0</v>
      </c>
      <c r="F10" s="204">
        <f t="shared" ref="F10:F15" si="46">+B10*C10</f>
        <v>0</v>
      </c>
      <c r="G10" s="619">
        <v>0</v>
      </c>
      <c r="H10" s="206">
        <f>+'Input Page'!D49</f>
        <v>-29.4</v>
      </c>
      <c r="I10" s="858" t="s">
        <v>158</v>
      </c>
      <c r="J10" s="863" t="s">
        <v>29</v>
      </c>
      <c r="K10" s="176"/>
      <c r="L10" s="413">
        <f>+IF('Input Page'!$G$68="YES",Standing!L9+15,0)</f>
        <v>60</v>
      </c>
      <c r="M10" s="9">
        <f t="shared" si="0"/>
        <v>70.640965615401896</v>
      </c>
      <c r="N10" s="9">
        <f t="shared" si="1"/>
        <v>78.594177191120906</v>
      </c>
      <c r="O10" s="9">
        <f t="shared" si="2"/>
        <v>29.702587660008295</v>
      </c>
      <c r="P10" s="9">
        <f t="shared" si="3"/>
        <v>126.47080609479065</v>
      </c>
      <c r="Q10" s="10">
        <f t="shared" si="4"/>
        <v>47.796291515687727</v>
      </c>
      <c r="R10" s="11">
        <f t="shared" si="18"/>
        <v>0.28697767461474821</v>
      </c>
      <c r="S10" s="12">
        <f t="shared" si="19"/>
        <v>3.8140000000000001</v>
      </c>
      <c r="T10" s="13">
        <f t="shared" si="20"/>
        <v>3.2400446507705034</v>
      </c>
      <c r="U10" s="14">
        <f t="shared" si="21"/>
        <v>102.56875782997393</v>
      </c>
      <c r="W10" s="549" t="str">
        <f t="shared" si="22"/>
        <v>Max @ Front</v>
      </c>
      <c r="X10" s="76">
        <f t="shared" si="23"/>
        <v>38.749439587848009</v>
      </c>
      <c r="Y10" s="76">
        <f t="shared" si="24"/>
        <v>102.53249164295578</v>
      </c>
      <c r="Z10" s="2"/>
      <c r="AA10" s="89">
        <f t="shared" si="5"/>
        <v>144.56535139977237</v>
      </c>
      <c r="AB10" s="90">
        <f t="shared" si="25"/>
        <v>0.28697767461474821</v>
      </c>
      <c r="AC10" s="91">
        <f t="shared" si="6"/>
        <v>3.8140000000000001</v>
      </c>
      <c r="AD10" s="92">
        <f t="shared" si="7"/>
        <v>3.2400446507705034</v>
      </c>
      <c r="AE10" s="43">
        <f t="shared" si="8"/>
        <v>63.740458182263367</v>
      </c>
      <c r="AF10" s="2"/>
      <c r="AG10" s="89">
        <f t="shared" si="9"/>
        <v>232.62914860022758</v>
      </c>
      <c r="AH10" s="90">
        <f t="shared" si="26"/>
        <v>0.28697767461474821</v>
      </c>
      <c r="AI10" s="91">
        <f t="shared" si="10"/>
        <v>3.8140000000000001</v>
      </c>
      <c r="AJ10" s="92">
        <f t="shared" si="11"/>
        <v>3.2400446507705034</v>
      </c>
      <c r="AK10" s="550">
        <f t="shared" si="12"/>
        <v>102.56875782997393</v>
      </c>
      <c r="AL10" s="42"/>
      <c r="AM10" s="525">
        <f t="shared" si="13"/>
        <v>60</v>
      </c>
      <c r="AN10" s="526"/>
      <c r="AO10" s="54">
        <f t="shared" si="44"/>
        <v>98.1</v>
      </c>
      <c r="AP10" s="75">
        <f t="shared" si="27"/>
        <v>0</v>
      </c>
      <c r="AQ10" s="75">
        <f t="shared" si="27"/>
        <v>0</v>
      </c>
      <c r="AR10" s="53">
        <f t="shared" si="27"/>
        <v>0</v>
      </c>
      <c r="AS10" s="55">
        <f t="shared" si="27"/>
        <v>0</v>
      </c>
      <c r="AT10" s="2"/>
      <c r="AU10" s="51">
        <f t="shared" si="14"/>
        <v>279.09449999999998</v>
      </c>
      <c r="AV10" s="50">
        <f t="shared" si="15"/>
        <v>-7.5571177504393683E-2</v>
      </c>
      <c r="AW10" s="50">
        <f t="shared" si="16"/>
        <v>0.64480400497718982</v>
      </c>
      <c r="AX10" s="69">
        <f t="shared" si="28"/>
        <v>-6.6845835853794027</v>
      </c>
      <c r="AY10" s="73">
        <f t="shared" si="29"/>
        <v>0.64921738093186043</v>
      </c>
      <c r="AZ10" s="527"/>
      <c r="BA10" s="58">
        <f t="shared" si="30"/>
        <v>0.52063106001999715</v>
      </c>
      <c r="BB10" s="57">
        <f t="shared" si="31"/>
        <v>0.38784856200130291</v>
      </c>
      <c r="BC10" s="53">
        <f t="shared" si="32"/>
        <v>-108.24640048747263</v>
      </c>
      <c r="BD10" s="55">
        <f t="shared" si="33"/>
        <v>145.30526538075108</v>
      </c>
      <c r="BE10" s="2"/>
      <c r="BF10" s="54">
        <f t="shared" si="34"/>
        <v>-108.24640048747263</v>
      </c>
      <c r="BG10" s="53">
        <f t="shared" si="35"/>
        <v>145.30526538075108</v>
      </c>
      <c r="BH10" s="57">
        <f t="shared" si="36"/>
        <v>0.38522636300569363</v>
      </c>
      <c r="BI10" s="129">
        <f t="shared" si="37"/>
        <v>0.28697767461474821</v>
      </c>
      <c r="BJ10" s="66" t="str">
        <f t="shared" si="17"/>
        <v>no</v>
      </c>
      <c r="BK10" s="2"/>
      <c r="BL10" s="70">
        <f t="shared" si="38"/>
        <v>181.19300032248711</v>
      </c>
      <c r="BM10" s="528">
        <f t="shared" si="39"/>
        <v>53.3154164146206</v>
      </c>
      <c r="BN10" s="121"/>
      <c r="BO10" s="577">
        <f t="shared" si="40"/>
        <v>0.23347052303375374</v>
      </c>
      <c r="BP10" s="578">
        <f t="shared" si="41"/>
        <v>0.15048645758508034</v>
      </c>
      <c r="BR10" s="507" t="str">
        <f t="shared" si="42"/>
        <v>NO-OK</v>
      </c>
      <c r="BS10" s="512" t="str">
        <f t="shared" si="43"/>
        <v>NO-OK</v>
      </c>
    </row>
    <row r="11" spans="1:71" ht="20.100000000000001" customHeight="1" thickBot="1" x14ac:dyDescent="0.3">
      <c r="A11" s="207" t="s">
        <v>93</v>
      </c>
      <c r="B11" s="208">
        <f t="shared" ref="B11:B15" si="47">+G11</f>
        <v>0</v>
      </c>
      <c r="C11" s="209">
        <f>+'Input Page'!E50</f>
        <v>0</v>
      </c>
      <c r="D11" s="209">
        <f>+'Input Page'!F50</f>
        <v>4</v>
      </c>
      <c r="E11" s="210">
        <f t="shared" si="45"/>
        <v>0</v>
      </c>
      <c r="F11" s="211">
        <f t="shared" si="46"/>
        <v>0</v>
      </c>
      <c r="G11" s="620">
        <v>0</v>
      </c>
      <c r="H11" s="213">
        <f>+'Input Page'!D50</f>
        <v>10</v>
      </c>
      <c r="I11" s="859"/>
      <c r="J11" s="864"/>
      <c r="K11" s="176"/>
      <c r="L11" s="413">
        <f>+IF('Input Page'!$G$68="YES",Standing!L10+15,0)</f>
        <v>75</v>
      </c>
      <c r="M11" s="9">
        <f t="shared" si="0"/>
        <v>70.640965615401896</v>
      </c>
      <c r="N11" s="9">
        <f t="shared" si="1"/>
        <v>65.919108621887744</v>
      </c>
      <c r="O11" s="9">
        <f t="shared" si="2"/>
        <v>37.141746342391251</v>
      </c>
      <c r="P11" s="9">
        <f t="shared" si="3"/>
        <v>114.81253724581609</v>
      </c>
      <c r="Q11" s="10">
        <f t="shared" si="4"/>
        <v>64.690470251512494</v>
      </c>
      <c r="R11" s="11">
        <f t="shared" si="18"/>
        <v>0.17749522805731541</v>
      </c>
      <c r="S11" s="12">
        <f t="shared" si="19"/>
        <v>3.8140000000000001</v>
      </c>
      <c r="T11" s="13">
        <f t="shared" si="20"/>
        <v>3.4590095438853692</v>
      </c>
      <c r="U11" s="14">
        <f t="shared" si="21"/>
        <v>98.962500957109171</v>
      </c>
      <c r="W11" s="549" t="str">
        <f t="shared" si="22"/>
        <v>Max @ Front</v>
      </c>
      <c r="X11" s="76">
        <f t="shared" si="23"/>
        <v>50.916108296951869</v>
      </c>
      <c r="Y11" s="76">
        <f t="shared" si="24"/>
        <v>90.365822933851916</v>
      </c>
      <c r="Z11" s="2"/>
      <c r="AA11" s="89">
        <f t="shared" si="5"/>
        <v>137.57593529181602</v>
      </c>
      <c r="AB11" s="90">
        <f t="shared" si="25"/>
        <v>0.17749522805731541</v>
      </c>
      <c r="AC11" s="91">
        <f t="shared" si="6"/>
        <v>3.8140000000000001</v>
      </c>
      <c r="AD11" s="92">
        <f t="shared" si="7"/>
        <v>3.4590095438853692</v>
      </c>
      <c r="AE11" s="43">
        <f t="shared" si="8"/>
        <v>56.81888064295935</v>
      </c>
      <c r="AF11" s="2"/>
      <c r="AG11" s="89">
        <f t="shared" si="9"/>
        <v>239.61856470818392</v>
      </c>
      <c r="AH11" s="90">
        <f t="shared" si="26"/>
        <v>0.17749522805731541</v>
      </c>
      <c r="AI11" s="91">
        <f t="shared" si="10"/>
        <v>3.8140000000000001</v>
      </c>
      <c r="AJ11" s="92">
        <f t="shared" si="11"/>
        <v>3.4590095438853692</v>
      </c>
      <c r="AK11" s="550">
        <f t="shared" si="12"/>
        <v>98.962500957109171</v>
      </c>
      <c r="AL11" s="42"/>
      <c r="AM11" s="525">
        <f t="shared" si="13"/>
        <v>75</v>
      </c>
      <c r="AN11" s="526"/>
      <c r="AO11" s="54">
        <f t="shared" si="44"/>
        <v>98.1</v>
      </c>
      <c r="AP11" s="75">
        <f t="shared" si="27"/>
        <v>0</v>
      </c>
      <c r="AQ11" s="75">
        <f t="shared" si="27"/>
        <v>0</v>
      </c>
      <c r="AR11" s="53">
        <f t="shared" si="27"/>
        <v>0</v>
      </c>
      <c r="AS11" s="55">
        <f t="shared" si="27"/>
        <v>0</v>
      </c>
      <c r="AT11" s="2"/>
      <c r="AU11" s="51">
        <f t="shared" si="14"/>
        <v>279.09449999999998</v>
      </c>
      <c r="AV11" s="50">
        <f t="shared" si="15"/>
        <v>-7.5571177504393683E-2</v>
      </c>
      <c r="AW11" s="50">
        <f t="shared" si="16"/>
        <v>0.64480400497718982</v>
      </c>
      <c r="AX11" s="69">
        <f t="shared" si="28"/>
        <v>-6.6845835853794027</v>
      </c>
      <c r="AY11" s="73">
        <f t="shared" si="29"/>
        <v>0.64921738093186043</v>
      </c>
      <c r="AZ11" s="527"/>
      <c r="BA11" s="58">
        <f t="shared" si="30"/>
        <v>0.60327358130313224</v>
      </c>
      <c r="BB11" s="57">
        <f t="shared" si="31"/>
        <v>0.23988370892104666</v>
      </c>
      <c r="BC11" s="53">
        <f t="shared" si="32"/>
        <v>-66.95022379946505</v>
      </c>
      <c r="BD11" s="55">
        <f t="shared" si="33"/>
        <v>168.37033853700703</v>
      </c>
      <c r="BE11" s="2"/>
      <c r="BF11" s="54">
        <f t="shared" si="34"/>
        <v>-66.95022379946505</v>
      </c>
      <c r="BG11" s="53">
        <f t="shared" si="35"/>
        <v>168.37033853700703</v>
      </c>
      <c r="BH11" s="57">
        <f t="shared" si="36"/>
        <v>0.44637538070413818</v>
      </c>
      <c r="BI11" s="129">
        <f t="shared" si="37"/>
        <v>0.17749522805731541</v>
      </c>
      <c r="BJ11" s="66" t="str">
        <f t="shared" si="17"/>
        <v>no</v>
      </c>
      <c r="BK11" s="2"/>
      <c r="BL11" s="70">
        <f t="shared" si="38"/>
        <v>181.19300032248711</v>
      </c>
      <c r="BM11" s="528">
        <f t="shared" si="39"/>
        <v>68.3154164146206</v>
      </c>
      <c r="BN11" s="121"/>
      <c r="BO11" s="577">
        <f t="shared" si="40"/>
        <v>0.27053053376008374</v>
      </c>
      <c r="BP11" s="578">
        <f t="shared" si="41"/>
        <v>9.3075630863825587E-2</v>
      </c>
      <c r="BR11" s="507" t="str">
        <f t="shared" si="42"/>
        <v>NO-OK</v>
      </c>
      <c r="BS11" s="512" t="str">
        <f t="shared" si="43"/>
        <v>NO-OK</v>
      </c>
    </row>
    <row r="12" spans="1:71" ht="20.100000000000001" customHeight="1" x14ac:dyDescent="0.25">
      <c r="A12" s="214" t="s">
        <v>74</v>
      </c>
      <c r="B12" s="215">
        <f t="shared" si="47"/>
        <v>0</v>
      </c>
      <c r="C12" s="216">
        <f>+'Input Page'!E41</f>
        <v>0</v>
      </c>
      <c r="D12" s="216">
        <f>+'Input Page'!F41</f>
        <v>2.74</v>
      </c>
      <c r="E12" s="217">
        <f t="shared" si="45"/>
        <v>0</v>
      </c>
      <c r="F12" s="218">
        <f t="shared" si="46"/>
        <v>0</v>
      </c>
      <c r="G12" s="219">
        <v>0</v>
      </c>
      <c r="H12" s="220">
        <f>+'Input Page'!D41</f>
        <v>-450</v>
      </c>
      <c r="I12" s="221">
        <f>+IF(J12=0,-1E-24,G12/J12*-1)</f>
        <v>0</v>
      </c>
      <c r="J12" s="222">
        <f>+'Input Page'!C41</f>
        <v>1.5</v>
      </c>
      <c r="K12" s="176"/>
      <c r="L12" s="413">
        <f>+IF('Input Page'!$G$68="YES",Standing!L11+15,0)</f>
        <v>90</v>
      </c>
      <c r="M12" s="9">
        <f t="shared" si="0"/>
        <v>70.640965615401896</v>
      </c>
      <c r="N12" s="9">
        <f t="shared" si="1"/>
        <v>54.631999313147816</v>
      </c>
      <c r="O12" s="9">
        <f t="shared" si="2"/>
        <v>45.797648948529627</v>
      </c>
      <c r="P12" s="9">
        <f t="shared" si="3"/>
        <v>99.077876277579463</v>
      </c>
      <c r="Q12" s="10">
        <f t="shared" si="4"/>
        <v>83.056337922350679</v>
      </c>
      <c r="R12" s="11">
        <f t="shared" si="18"/>
        <v>5.5916775032509712E-2</v>
      </c>
      <c r="S12" s="12">
        <f t="shared" si="19"/>
        <v>3.8140000000000001</v>
      </c>
      <c r="T12" s="13">
        <f t="shared" si="20"/>
        <v>3.7021664499349805</v>
      </c>
      <c r="U12" s="14">
        <f t="shared" si="21"/>
        <v>93.818025519994322</v>
      </c>
      <c r="V12" s="46"/>
      <c r="W12" s="549" t="str">
        <f t="shared" si="22"/>
        <v>Max @ Front</v>
      </c>
      <c r="X12" s="76">
        <f t="shared" si="23"/>
        <v>64.426993435440153</v>
      </c>
      <c r="Y12" s="76">
        <f t="shared" si="24"/>
        <v>76.854937795363639</v>
      </c>
      <c r="Z12" s="2"/>
      <c r="AA12" s="89">
        <f t="shared" si="5"/>
        <v>134.06353746451319</v>
      </c>
      <c r="AB12" s="90">
        <f t="shared" si="25"/>
        <v>5.5916775032509712E-2</v>
      </c>
      <c r="AC12" s="91">
        <f t="shared" si="6"/>
        <v>3.8140000000000001</v>
      </c>
      <c r="AD12" s="92">
        <f t="shared" si="7"/>
        <v>3.7021664499349805</v>
      </c>
      <c r="AE12" s="43">
        <f t="shared" si="8"/>
        <v>51.731693273375761</v>
      </c>
      <c r="AF12" s="2"/>
      <c r="AG12" s="89">
        <f t="shared" si="9"/>
        <v>243.13096253548676</v>
      </c>
      <c r="AH12" s="90">
        <f t="shared" si="26"/>
        <v>5.5916775032509712E-2</v>
      </c>
      <c r="AI12" s="91">
        <f t="shared" si="10"/>
        <v>3.8140000000000001</v>
      </c>
      <c r="AJ12" s="92">
        <f t="shared" si="11"/>
        <v>3.7021664499349805</v>
      </c>
      <c r="AK12" s="550">
        <f t="shared" si="12"/>
        <v>93.818025519994322</v>
      </c>
      <c r="AL12" s="42"/>
      <c r="AM12" s="521">
        <f t="shared" si="13"/>
        <v>90</v>
      </c>
      <c r="AN12" s="522"/>
      <c r="AO12" s="60">
        <f t="shared" si="44"/>
        <v>98.1</v>
      </c>
      <c r="AP12" s="74">
        <f t="shared" si="27"/>
        <v>0</v>
      </c>
      <c r="AQ12" s="74">
        <f t="shared" si="27"/>
        <v>0</v>
      </c>
      <c r="AR12" s="61">
        <f t="shared" si="27"/>
        <v>0</v>
      </c>
      <c r="AS12" s="62">
        <f t="shared" si="27"/>
        <v>0</v>
      </c>
      <c r="AT12" s="67"/>
      <c r="AU12" s="63">
        <f t="shared" si="14"/>
        <v>279.09449999999998</v>
      </c>
      <c r="AV12" s="64">
        <f t="shared" si="15"/>
        <v>-7.5571177504393683E-2</v>
      </c>
      <c r="AW12" s="64">
        <f t="shared" si="16"/>
        <v>0.64480400497718982</v>
      </c>
      <c r="AX12" s="68">
        <f t="shared" si="28"/>
        <v>-6.6845835853794027</v>
      </c>
      <c r="AY12" s="72">
        <f t="shared" si="29"/>
        <v>0.64921738093186043</v>
      </c>
      <c r="AZ12" s="523"/>
      <c r="BA12" s="65">
        <f t="shared" si="30"/>
        <v>0.64480400497718982</v>
      </c>
      <c r="BB12" s="66">
        <f t="shared" si="31"/>
        <v>7.5571177504393613E-2</v>
      </c>
      <c r="BC12" s="61">
        <f t="shared" si="32"/>
        <v>-21.091499999999982</v>
      </c>
      <c r="BD12" s="62">
        <f t="shared" si="33"/>
        <v>179.96125136710629</v>
      </c>
      <c r="BE12" s="67"/>
      <c r="BF12" s="60">
        <f t="shared" si="34"/>
        <v>-21.091499999999982</v>
      </c>
      <c r="BG12" s="61">
        <f t="shared" si="35"/>
        <v>179.96125136710629</v>
      </c>
      <c r="BH12" s="66">
        <f t="shared" si="36"/>
        <v>0.47710465387779066</v>
      </c>
      <c r="BI12" s="128">
        <f t="shared" si="37"/>
        <v>5.5916775032509712E-2</v>
      </c>
      <c r="BJ12" s="66" t="str">
        <f t="shared" si="17"/>
        <v>no</v>
      </c>
      <c r="BK12" s="2"/>
      <c r="BL12" s="71">
        <f t="shared" si="38"/>
        <v>181.19300032248711</v>
      </c>
      <c r="BM12" s="524">
        <f t="shared" si="39"/>
        <v>83.3154164146206</v>
      </c>
      <c r="BN12" s="120"/>
      <c r="BO12" s="577">
        <f t="shared" si="40"/>
        <v>0.28915433568350951</v>
      </c>
      <c r="BP12" s="578">
        <f t="shared" si="41"/>
        <v>2.9321853713953704E-2</v>
      </c>
      <c r="BR12" s="507" t="str">
        <f t="shared" si="42"/>
        <v>NO-OK</v>
      </c>
      <c r="BS12" s="512" t="str">
        <f t="shared" si="43"/>
        <v>NO-OK</v>
      </c>
    </row>
    <row r="13" spans="1:71" ht="20.100000000000001" customHeight="1" x14ac:dyDescent="0.25">
      <c r="A13" s="223" t="s">
        <v>75</v>
      </c>
      <c r="B13" s="224">
        <f t="shared" si="47"/>
        <v>0</v>
      </c>
      <c r="C13" s="225">
        <f>+'Input Page'!E42</f>
        <v>0</v>
      </c>
      <c r="D13" s="225">
        <f>+'Input Page'!F42</f>
        <v>0</v>
      </c>
      <c r="E13" s="226">
        <f t="shared" si="45"/>
        <v>0</v>
      </c>
      <c r="F13" s="227">
        <f t="shared" si="46"/>
        <v>0</v>
      </c>
      <c r="G13" s="205">
        <v>0</v>
      </c>
      <c r="H13" s="206">
        <f>+'Input Page'!D42</f>
        <v>0</v>
      </c>
      <c r="I13" s="221">
        <f t="shared" ref="I13:I15" si="48">+IF(J13=0,-1E-24,G13/J13*-1)</f>
        <v>-9.9999999999999992E-25</v>
      </c>
      <c r="J13" s="222">
        <f>+'Input Page'!C42</f>
        <v>0</v>
      </c>
      <c r="K13" s="176"/>
      <c r="L13" s="413">
        <f>+IF('Input Page'!$G$68="YES",Standing!L12+15,0)</f>
        <v>105</v>
      </c>
      <c r="M13" s="9">
        <f t="shared" si="0"/>
        <v>70.640965615401896</v>
      </c>
      <c r="N13" s="9">
        <f t="shared" si="1"/>
        <v>55.787580971552281</v>
      </c>
      <c r="O13" s="9">
        <f t="shared" si="2"/>
        <v>44.794876160279919</v>
      </c>
      <c r="P13" s="9">
        <f t="shared" si="3"/>
        <v>100.93512004628423</v>
      </c>
      <c r="Q13" s="10">
        <f t="shared" si="4"/>
        <v>81.046285283491159</v>
      </c>
      <c r="R13" s="11">
        <f t="shared" si="18"/>
        <v>-6.9472313803921534E-2</v>
      </c>
      <c r="S13" s="12">
        <f t="shared" si="19"/>
        <v>3.8140000000000001</v>
      </c>
      <c r="T13" s="13">
        <f t="shared" si="20"/>
        <v>3.6750553723921571</v>
      </c>
      <c r="U13" s="84">
        <f t="shared" si="21"/>
        <v>94.430832953134072</v>
      </c>
      <c r="W13" s="549" t="str">
        <f t="shared" si="22"/>
        <v>Max @ Rear</v>
      </c>
      <c r="X13" s="76">
        <f t="shared" si="23"/>
        <v>62.920580721885543</v>
      </c>
      <c r="Y13" s="76">
        <f t="shared" si="24"/>
        <v>78.36135050891825</v>
      </c>
      <c r="Z13" s="2"/>
      <c r="AA13" s="89">
        <f t="shared" si="5"/>
        <v>134.2675220252828</v>
      </c>
      <c r="AB13" s="90">
        <f t="shared" si="25"/>
        <v>-6.9472313803921534E-2</v>
      </c>
      <c r="AC13" s="91">
        <f t="shared" si="6"/>
        <v>3.8140000000000001</v>
      </c>
      <c r="AD13" s="92">
        <f t="shared" si="7"/>
        <v>3.6750553723921571</v>
      </c>
      <c r="AE13" s="43">
        <f t="shared" si="8"/>
        <v>52.19261380150337</v>
      </c>
      <c r="AF13" s="2"/>
      <c r="AG13" s="89">
        <f t="shared" si="9"/>
        <v>242.92697797471715</v>
      </c>
      <c r="AH13" s="90">
        <f t="shared" si="26"/>
        <v>-6.9472313803921534E-2</v>
      </c>
      <c r="AI13" s="91">
        <f t="shared" si="10"/>
        <v>3.8140000000000001</v>
      </c>
      <c r="AJ13" s="92">
        <f t="shared" si="11"/>
        <v>3.6750553723921571</v>
      </c>
      <c r="AK13" s="550">
        <f t="shared" si="12"/>
        <v>94.430832953134072</v>
      </c>
      <c r="AL13" s="42"/>
      <c r="AM13" s="525">
        <f t="shared" si="13"/>
        <v>105</v>
      </c>
      <c r="AN13" s="526"/>
      <c r="AO13" s="54">
        <f t="shared" si="44"/>
        <v>98.1</v>
      </c>
      <c r="AP13" s="75">
        <f t="shared" si="27"/>
        <v>0</v>
      </c>
      <c r="AQ13" s="75">
        <f t="shared" si="27"/>
        <v>0</v>
      </c>
      <c r="AR13" s="53">
        <f t="shared" si="27"/>
        <v>0</v>
      </c>
      <c r="AS13" s="55">
        <f t="shared" si="27"/>
        <v>0</v>
      </c>
      <c r="AT13" s="2"/>
      <c r="AU13" s="51">
        <f t="shared" si="14"/>
        <v>279.09449999999998</v>
      </c>
      <c r="AV13" s="50">
        <f t="shared" si="15"/>
        <v>-7.5571177504393683E-2</v>
      </c>
      <c r="AW13" s="50">
        <f t="shared" si="16"/>
        <v>0.64480400497718982</v>
      </c>
      <c r="AX13" s="69">
        <f t="shared" si="28"/>
        <v>-6.6845835853794027</v>
      </c>
      <c r="AY13" s="73">
        <f t="shared" si="29"/>
        <v>0.64921738093186043</v>
      </c>
      <c r="AZ13" s="527"/>
      <c r="BA13" s="58">
        <f t="shared" si="30"/>
        <v>0.64239210130105284</v>
      </c>
      <c r="BB13" s="57">
        <f t="shared" si="31"/>
        <v>-9.3891404771908007E-2</v>
      </c>
      <c r="BC13" s="53">
        <f t="shared" si="32"/>
        <v>26.204574669113278</v>
      </c>
      <c r="BD13" s="55">
        <f t="shared" si="33"/>
        <v>179.28810231656669</v>
      </c>
      <c r="BE13" s="2"/>
      <c r="BF13" s="54">
        <f t="shared" si="34"/>
        <v>26.204574669113278</v>
      </c>
      <c r="BG13" s="53">
        <f t="shared" si="35"/>
        <v>179.28810231656669</v>
      </c>
      <c r="BH13" s="57">
        <f t="shared" si="36"/>
        <v>0.47532003334239159</v>
      </c>
      <c r="BI13" s="129">
        <f t="shared" si="37"/>
        <v>-6.9472313803921534E-2</v>
      </c>
      <c r="BJ13" s="66" t="str">
        <f t="shared" si="17"/>
        <v>no</v>
      </c>
      <c r="BK13" s="2"/>
      <c r="BL13" s="70">
        <f t="shared" si="38"/>
        <v>181.19300032248714</v>
      </c>
      <c r="BM13" s="528">
        <f t="shared" si="39"/>
        <v>-81.684583585379414</v>
      </c>
      <c r="BN13" s="121"/>
      <c r="BO13" s="577">
        <f t="shared" si="40"/>
        <v>0.28807274748023737</v>
      </c>
      <c r="BP13" s="578">
        <f t="shared" si="41"/>
        <v>3.643015930986971E-2</v>
      </c>
      <c r="BR13" s="507" t="str">
        <f t="shared" si="42"/>
        <v>NO-OK</v>
      </c>
      <c r="BS13" s="512" t="str">
        <f t="shared" si="43"/>
        <v>NO-OK</v>
      </c>
    </row>
    <row r="14" spans="1:71" ht="20.100000000000001" customHeight="1" x14ac:dyDescent="0.25">
      <c r="A14" s="228" t="s">
        <v>77</v>
      </c>
      <c r="B14" s="224">
        <f t="shared" si="47"/>
        <v>0</v>
      </c>
      <c r="C14" s="225">
        <f>+'Input Page'!E43</f>
        <v>0</v>
      </c>
      <c r="D14" s="225">
        <f>+'Input Page'!F43</f>
        <v>0</v>
      </c>
      <c r="E14" s="226">
        <f t="shared" si="45"/>
        <v>0</v>
      </c>
      <c r="F14" s="227">
        <f t="shared" si="46"/>
        <v>0</v>
      </c>
      <c r="G14" s="205">
        <v>0</v>
      </c>
      <c r="H14" s="206">
        <f>+'Input Page'!D43</f>
        <v>0</v>
      </c>
      <c r="I14" s="221">
        <f t="shared" si="48"/>
        <v>-9.9999999999999992E-25</v>
      </c>
      <c r="J14" s="222">
        <f>+'Input Page'!C43</f>
        <v>0</v>
      </c>
      <c r="K14" s="176"/>
      <c r="L14" s="413">
        <f>+IF('Input Page'!$G$68="YES",Standing!L13+15,0)</f>
        <v>120</v>
      </c>
      <c r="M14" s="9">
        <f t="shared" si="0"/>
        <v>70.640965615401896</v>
      </c>
      <c r="N14" s="9">
        <f t="shared" si="1"/>
        <v>67.234110182081068</v>
      </c>
      <c r="O14" s="9">
        <f t="shared" si="2"/>
        <v>36.274757720689728</v>
      </c>
      <c r="P14" s="9">
        <f t="shared" si="3"/>
        <v>116.3050420388039</v>
      </c>
      <c r="Q14" s="10">
        <f t="shared" si="4"/>
        <v>62.74995252003287</v>
      </c>
      <c r="R14" s="11">
        <f t="shared" si="18"/>
        <v>-0.19012697926304242</v>
      </c>
      <c r="S14" s="12">
        <f t="shared" si="19"/>
        <v>3.8140000000000001</v>
      </c>
      <c r="T14" s="13">
        <f t="shared" si="20"/>
        <v>3.4337460414739152</v>
      </c>
      <c r="U14" s="14">
        <f t="shared" si="21"/>
        <v>99.441796364513024</v>
      </c>
      <c r="W14" s="549" t="str">
        <f t="shared" si="22"/>
        <v>Max @ Rear</v>
      </c>
      <c r="X14" s="76">
        <f t="shared" si="23"/>
        <v>49.512355120361299</v>
      </c>
      <c r="Y14" s="76">
        <f t="shared" si="24"/>
        <v>91.769576110442486</v>
      </c>
      <c r="Z14" s="2"/>
      <c r="AA14" s="89">
        <f t="shared" si="5"/>
        <v>138.17398776340872</v>
      </c>
      <c r="AB14" s="90">
        <f t="shared" si="25"/>
        <v>-0.19012697926304242</v>
      </c>
      <c r="AC14" s="91">
        <f t="shared" si="6"/>
        <v>3.8140000000000001</v>
      </c>
      <c r="AD14" s="92">
        <f t="shared" si="7"/>
        <v>3.4337460414739152</v>
      </c>
      <c r="AE14" s="43">
        <f t="shared" si="8"/>
        <v>57.485733862209223</v>
      </c>
      <c r="AF14" s="2"/>
      <c r="AG14" s="89">
        <f t="shared" si="9"/>
        <v>239.02051223659123</v>
      </c>
      <c r="AH14" s="90">
        <f t="shared" si="26"/>
        <v>-0.19012697926304242</v>
      </c>
      <c r="AI14" s="91">
        <f t="shared" si="10"/>
        <v>3.8140000000000001</v>
      </c>
      <c r="AJ14" s="92">
        <f t="shared" si="11"/>
        <v>3.4337460414739152</v>
      </c>
      <c r="AK14" s="550">
        <f t="shared" si="12"/>
        <v>99.441796364513024</v>
      </c>
      <c r="AL14" s="42"/>
      <c r="AM14" s="525">
        <f t="shared" si="13"/>
        <v>120</v>
      </c>
      <c r="AN14" s="526"/>
      <c r="AO14" s="54">
        <f t="shared" si="44"/>
        <v>98.1</v>
      </c>
      <c r="AP14" s="75">
        <f t="shared" si="27"/>
        <v>0</v>
      </c>
      <c r="AQ14" s="75">
        <f t="shared" si="27"/>
        <v>0</v>
      </c>
      <c r="AR14" s="53">
        <f t="shared" si="27"/>
        <v>0</v>
      </c>
      <c r="AS14" s="55">
        <f t="shared" si="27"/>
        <v>0</v>
      </c>
      <c r="AT14" s="2"/>
      <c r="AU14" s="51">
        <f t="shared" si="14"/>
        <v>279.09449999999998</v>
      </c>
      <c r="AV14" s="50">
        <f t="shared" si="15"/>
        <v>-7.5571177504393683E-2</v>
      </c>
      <c r="AW14" s="50">
        <f t="shared" si="16"/>
        <v>0.64480400497718982</v>
      </c>
      <c r="AX14" s="69">
        <f t="shared" si="28"/>
        <v>-6.6845835853794027</v>
      </c>
      <c r="AY14" s="73">
        <f t="shared" si="29"/>
        <v>0.64921738093186043</v>
      </c>
      <c r="AZ14" s="527"/>
      <c r="BA14" s="58">
        <f t="shared" si="30"/>
        <v>0.59620223752439083</v>
      </c>
      <c r="BB14" s="57">
        <f t="shared" si="31"/>
        <v>-0.25695544297588685</v>
      </c>
      <c r="BC14" s="53">
        <f t="shared" si="32"/>
        <v>71.714850879633644</v>
      </c>
      <c r="BD14" s="55">
        <f t="shared" si="33"/>
        <v>166.39676538075108</v>
      </c>
      <c r="BE14" s="2"/>
      <c r="BF14" s="54">
        <f t="shared" si="34"/>
        <v>71.714850879633644</v>
      </c>
      <c r="BG14" s="53">
        <f t="shared" si="35"/>
        <v>166.39676538075108</v>
      </c>
      <c r="BH14" s="57">
        <f t="shared" si="36"/>
        <v>0.44114313803820338</v>
      </c>
      <c r="BI14" s="129">
        <f t="shared" si="37"/>
        <v>-0.19012697926304242</v>
      </c>
      <c r="BJ14" s="66" t="str">
        <f t="shared" si="17"/>
        <v>no</v>
      </c>
      <c r="BK14" s="2"/>
      <c r="BL14" s="70">
        <f t="shared" si="38"/>
        <v>181.19300032248711</v>
      </c>
      <c r="BM14" s="528">
        <f t="shared" si="39"/>
        <v>-66.684583585379414</v>
      </c>
      <c r="BN14" s="121"/>
      <c r="BO14" s="577">
        <f t="shared" si="40"/>
        <v>0.26735947759891115</v>
      </c>
      <c r="BP14" s="578">
        <f t="shared" si="41"/>
        <v>9.9699517180410285E-2</v>
      </c>
      <c r="BR14" s="507" t="str">
        <f t="shared" si="42"/>
        <v>NO-OK</v>
      </c>
      <c r="BS14" s="512" t="str">
        <f t="shared" si="43"/>
        <v>NO-OK</v>
      </c>
    </row>
    <row r="15" spans="1:71" ht="20.100000000000001" customHeight="1" thickBot="1" x14ac:dyDescent="0.3">
      <c r="A15" s="229" t="s">
        <v>78</v>
      </c>
      <c r="B15" s="230">
        <f t="shared" si="47"/>
        <v>0</v>
      </c>
      <c r="C15" s="231">
        <f>+'Input Page'!E44</f>
        <v>0</v>
      </c>
      <c r="D15" s="231">
        <f>+'Input Page'!F44</f>
        <v>0</v>
      </c>
      <c r="E15" s="232">
        <f t="shared" si="45"/>
        <v>0</v>
      </c>
      <c r="F15" s="233">
        <f t="shared" si="46"/>
        <v>0</v>
      </c>
      <c r="G15" s="212">
        <v>0</v>
      </c>
      <c r="H15" s="213">
        <f>+'Input Page'!D44</f>
        <v>0</v>
      </c>
      <c r="I15" s="234">
        <f t="shared" si="48"/>
        <v>-9.9999999999999992E-25</v>
      </c>
      <c r="J15" s="235">
        <f>+'Input Page'!C44</f>
        <v>0</v>
      </c>
      <c r="K15" s="176"/>
      <c r="L15" s="413">
        <f>+IF('Input Page'!$G$68="YES",Standing!L14+15,0)</f>
        <v>135</v>
      </c>
      <c r="M15" s="9">
        <f t="shared" si="0"/>
        <v>70.640965615401896</v>
      </c>
      <c r="N15" s="9">
        <f t="shared" si="1"/>
        <v>80.041472799713745</v>
      </c>
      <c r="O15" s="9">
        <f t="shared" si="2"/>
        <v>28.967977716862492</v>
      </c>
      <c r="P15" s="9">
        <f t="shared" si="3"/>
        <v>127.43437084710523</v>
      </c>
      <c r="Q15" s="10">
        <f t="shared" si="4"/>
        <v>46.120041097926133</v>
      </c>
      <c r="R15" s="11">
        <f t="shared" si="18"/>
        <v>-0.29782480528507604</v>
      </c>
      <c r="S15" s="12">
        <f t="shared" si="19"/>
        <v>3.8140000000000001</v>
      </c>
      <c r="T15" s="85">
        <f t="shared" si="20"/>
        <v>3.218350389429848</v>
      </c>
      <c r="U15" s="14">
        <f t="shared" si="21"/>
        <v>102.83785900571506</v>
      </c>
      <c r="W15" s="549" t="str">
        <f t="shared" si="22"/>
        <v>Max @ Rear</v>
      </c>
      <c r="X15" s="76">
        <f t="shared" si="23"/>
        <v>37.544009407394313</v>
      </c>
      <c r="Y15" s="76">
        <f t="shared" si="24"/>
        <v>103.73792182340948</v>
      </c>
      <c r="Z15" s="2"/>
      <c r="AA15" s="89">
        <f t="shared" si="5"/>
        <v>145.51671549457762</v>
      </c>
      <c r="AB15" s="90">
        <f t="shared" si="25"/>
        <v>-0.29782480528507604</v>
      </c>
      <c r="AC15" s="91">
        <f t="shared" si="6"/>
        <v>3.8140000000000001</v>
      </c>
      <c r="AD15" s="92">
        <f t="shared" si="7"/>
        <v>3.218350389429848</v>
      </c>
      <c r="AE15" s="43">
        <f t="shared" si="8"/>
        <v>64.592414430033003</v>
      </c>
      <c r="AF15" s="2"/>
      <c r="AG15" s="89">
        <f t="shared" si="9"/>
        <v>231.67778450542232</v>
      </c>
      <c r="AH15" s="90">
        <f t="shared" si="26"/>
        <v>-0.29782480528507604</v>
      </c>
      <c r="AI15" s="91">
        <f t="shared" si="10"/>
        <v>3.8140000000000001</v>
      </c>
      <c r="AJ15" s="92">
        <f t="shared" si="11"/>
        <v>3.218350389429848</v>
      </c>
      <c r="AK15" s="550">
        <f t="shared" si="12"/>
        <v>102.83785900571506</v>
      </c>
      <c r="AL15" s="42"/>
      <c r="AM15" s="525">
        <f t="shared" si="13"/>
        <v>135</v>
      </c>
      <c r="AN15" s="526"/>
      <c r="AO15" s="54">
        <f t="shared" si="44"/>
        <v>98.1</v>
      </c>
      <c r="AP15" s="75">
        <f t="shared" si="27"/>
        <v>0</v>
      </c>
      <c r="AQ15" s="75">
        <f t="shared" si="27"/>
        <v>0</v>
      </c>
      <c r="AR15" s="53">
        <f t="shared" si="27"/>
        <v>0</v>
      </c>
      <c r="AS15" s="55">
        <f t="shared" si="27"/>
        <v>0</v>
      </c>
      <c r="AT15" s="2"/>
      <c r="AU15" s="51">
        <f t="shared" si="14"/>
        <v>279.09449999999998</v>
      </c>
      <c r="AV15" s="50">
        <f t="shared" si="15"/>
        <v>-7.5571177504393683E-2</v>
      </c>
      <c r="AW15" s="50">
        <f t="shared" si="16"/>
        <v>0.64480400497718982</v>
      </c>
      <c r="AX15" s="69">
        <f t="shared" si="28"/>
        <v>-6.6845835853794027</v>
      </c>
      <c r="AY15" s="73">
        <f t="shared" si="29"/>
        <v>0.64921738093186043</v>
      </c>
      <c r="AZ15" s="527"/>
      <c r="BA15" s="58">
        <f t="shared" si="30"/>
        <v>0.50938217653122431</v>
      </c>
      <c r="BB15" s="57">
        <f t="shared" si="31"/>
        <v>-0.40250839238000607</v>
      </c>
      <c r="BC15" s="53">
        <f t="shared" si="32"/>
        <v>112.3378785171016</v>
      </c>
      <c r="BD15" s="55">
        <f t="shared" si="33"/>
        <v>142.16576386789379</v>
      </c>
      <c r="BE15" s="2"/>
      <c r="BF15" s="54">
        <f t="shared" si="34"/>
        <v>112.3378785171016</v>
      </c>
      <c r="BG15" s="53">
        <f t="shared" si="35"/>
        <v>142.16576386789379</v>
      </c>
      <c r="BH15" s="57">
        <f t="shared" si="36"/>
        <v>0.37690306690021674</v>
      </c>
      <c r="BI15" s="129">
        <f t="shared" si="37"/>
        <v>-0.29782480528507604</v>
      </c>
      <c r="BJ15" s="66" t="str">
        <f t="shared" si="17"/>
        <v>no</v>
      </c>
      <c r="BK15" s="2"/>
      <c r="BL15" s="70">
        <f t="shared" si="38"/>
        <v>181.19300032248711</v>
      </c>
      <c r="BM15" s="528">
        <f t="shared" si="39"/>
        <v>-51.684583585379414</v>
      </c>
      <c r="BN15" s="121"/>
      <c r="BO15" s="577">
        <f t="shared" si="40"/>
        <v>0.22842610115164652</v>
      </c>
      <c r="BP15" s="578">
        <f t="shared" si="41"/>
        <v>0.15617451771634822</v>
      </c>
      <c r="BR15" s="507" t="str">
        <f t="shared" si="42"/>
        <v>NO-OK</v>
      </c>
      <c r="BS15" s="512" t="str">
        <f t="shared" si="43"/>
        <v>NO-OK</v>
      </c>
    </row>
    <row r="16" spans="1:71" ht="20.100000000000001" customHeight="1" thickBot="1" x14ac:dyDescent="0.3">
      <c r="A16" s="236" t="s">
        <v>157</v>
      </c>
      <c r="B16" s="237">
        <f>+SUM(B4:B15)</f>
        <v>279.09449999999998</v>
      </c>
      <c r="C16" s="238">
        <f>+F16/B16</f>
        <v>-7.5571177504393683E-2</v>
      </c>
      <c r="D16" s="238">
        <f>+E16/B16*-1</f>
        <v>0.64480400497718982</v>
      </c>
      <c r="E16" s="237">
        <f>+SUM(E4:E15)</f>
        <v>-179.96125136710629</v>
      </c>
      <c r="F16" s="239">
        <f>+SUM(F4:F15)</f>
        <v>-21.0915</v>
      </c>
      <c r="G16" s="911" t="s">
        <v>160</v>
      </c>
      <c r="H16" s="912"/>
      <c r="I16" s="240">
        <f>+MAX(I12:I15)</f>
        <v>0</v>
      </c>
      <c r="J16" s="154"/>
      <c r="K16" s="176"/>
      <c r="L16" s="413">
        <f>+IF('Input Page'!$G$68="YES",Standing!L15+15,0)</f>
        <v>150</v>
      </c>
      <c r="M16" s="9">
        <f t="shared" si="0"/>
        <v>70.640965615401896</v>
      </c>
      <c r="N16" s="9">
        <f t="shared" si="1"/>
        <v>93.7187424678376</v>
      </c>
      <c r="O16" s="9">
        <f t="shared" si="2"/>
        <v>22.99060689042263</v>
      </c>
      <c r="P16" s="9">
        <f t="shared" si="3"/>
        <v>133.18278686437631</v>
      </c>
      <c r="Q16" s="10">
        <f t="shared" si="4"/>
        <v>32.671726238971026</v>
      </c>
      <c r="R16" s="11">
        <f t="shared" si="18"/>
        <v>-0.38522636300569346</v>
      </c>
      <c r="S16" s="12">
        <f t="shared" si="19"/>
        <v>3.8140000000000001</v>
      </c>
      <c r="T16" s="13">
        <f t="shared" si="20"/>
        <v>3.0435472739886134</v>
      </c>
      <c r="U16" s="14">
        <f t="shared" si="21"/>
        <v>103.9197121040896</v>
      </c>
      <c r="W16" s="549" t="str">
        <f t="shared" si="22"/>
        <v>Max @ Rear</v>
      </c>
      <c r="X16" s="76">
        <f t="shared" si="23"/>
        <v>27.831166564696826</v>
      </c>
      <c r="Y16" s="76">
        <f t="shared" si="24"/>
        <v>113.45076466610696</v>
      </c>
      <c r="Z16" s="2"/>
      <c r="AA16" s="89">
        <f t="shared" si="5"/>
        <v>155.79531045834156</v>
      </c>
      <c r="AB16" s="90">
        <f t="shared" si="25"/>
        <v>-0.38522636300569346</v>
      </c>
      <c r="AC16" s="91">
        <f t="shared" si="6"/>
        <v>3.8140000000000001</v>
      </c>
      <c r="AD16" s="92">
        <f t="shared" si="7"/>
        <v>3.0435472739886134</v>
      </c>
      <c r="AE16" s="43">
        <f t="shared" si="8"/>
        <v>73.126752828296929</v>
      </c>
      <c r="AF16" s="2"/>
      <c r="AG16" s="89">
        <f t="shared" si="9"/>
        <v>221.39918954165839</v>
      </c>
      <c r="AH16" s="90">
        <f t="shared" si="26"/>
        <v>-0.38522636300569346</v>
      </c>
      <c r="AI16" s="91">
        <f t="shared" si="10"/>
        <v>3.8140000000000001</v>
      </c>
      <c r="AJ16" s="92">
        <f t="shared" si="11"/>
        <v>3.0435472739886134</v>
      </c>
      <c r="AK16" s="550">
        <f t="shared" si="12"/>
        <v>103.9197121040896</v>
      </c>
      <c r="AL16" s="42"/>
      <c r="AM16" s="525">
        <f t="shared" si="13"/>
        <v>150</v>
      </c>
      <c r="AN16" s="526"/>
      <c r="AO16" s="54">
        <f t="shared" si="44"/>
        <v>98.1</v>
      </c>
      <c r="AP16" s="75">
        <f t="shared" si="27"/>
        <v>0</v>
      </c>
      <c r="AQ16" s="75">
        <f t="shared" si="27"/>
        <v>0</v>
      </c>
      <c r="AR16" s="53">
        <f t="shared" si="27"/>
        <v>0</v>
      </c>
      <c r="AS16" s="55">
        <f t="shared" si="27"/>
        <v>0</v>
      </c>
      <c r="AT16" s="2"/>
      <c r="AU16" s="51">
        <f t="shared" si="14"/>
        <v>279.09449999999998</v>
      </c>
      <c r="AV16" s="50">
        <f t="shared" si="15"/>
        <v>-7.5571177504393683E-2</v>
      </c>
      <c r="AW16" s="50">
        <f t="shared" si="16"/>
        <v>0.64480400497718982</v>
      </c>
      <c r="AX16" s="69">
        <f t="shared" si="28"/>
        <v>-6.6845835853794027</v>
      </c>
      <c r="AY16" s="73">
        <f t="shared" si="29"/>
        <v>0.64921738093186043</v>
      </c>
      <c r="AZ16" s="527"/>
      <c r="BA16" s="58">
        <f t="shared" si="30"/>
        <v>0.38784856200130319</v>
      </c>
      <c r="BB16" s="57">
        <f t="shared" si="31"/>
        <v>-0.52063106001999693</v>
      </c>
      <c r="BC16" s="53">
        <f t="shared" si="32"/>
        <v>145.30526538075102</v>
      </c>
      <c r="BD16" s="55">
        <f t="shared" si="33"/>
        <v>108.24640048747271</v>
      </c>
      <c r="BE16" s="2"/>
      <c r="BF16" s="54">
        <f t="shared" si="34"/>
        <v>145.30526538075102</v>
      </c>
      <c r="BG16" s="53">
        <f t="shared" si="35"/>
        <v>108.24640048747271</v>
      </c>
      <c r="BH16" s="57">
        <f t="shared" si="36"/>
        <v>0.28697767461474843</v>
      </c>
      <c r="BI16" s="129">
        <f t="shared" si="37"/>
        <v>-0.38522636300569346</v>
      </c>
      <c r="BJ16" s="66" t="str">
        <f t="shared" si="17"/>
        <v>no</v>
      </c>
      <c r="BK16" s="2"/>
      <c r="BL16" s="70">
        <f t="shared" si="38"/>
        <v>181.19300032248711</v>
      </c>
      <c r="BM16" s="528">
        <f t="shared" si="39"/>
        <v>-36.684583585379436</v>
      </c>
      <c r="BN16" s="121"/>
      <c r="BO16" s="577">
        <f t="shared" si="40"/>
        <v>0.17392586340287786</v>
      </c>
      <c r="BP16" s="578">
        <f t="shared" si="41"/>
        <v>0.20200648296051046</v>
      </c>
      <c r="BR16" s="507" t="str">
        <f t="shared" si="42"/>
        <v>NO-OK</v>
      </c>
      <c r="BS16" s="512" t="str">
        <f t="shared" si="43"/>
        <v>NO-OK</v>
      </c>
    </row>
    <row r="17" spans="1:71" ht="20.100000000000001" customHeight="1" thickBot="1" x14ac:dyDescent="0.3">
      <c r="A17" s="158"/>
      <c r="B17" s="154"/>
      <c r="C17" s="154"/>
      <c r="D17" s="155"/>
      <c r="E17" s="155"/>
      <c r="F17" s="155"/>
      <c r="G17" s="155"/>
      <c r="H17" s="155"/>
      <c r="I17" s="154"/>
      <c r="J17" s="154"/>
      <c r="K17" s="182"/>
      <c r="L17" s="413">
        <f>+IF('Input Page'!$G$68="YES",Standing!L16+15,0)</f>
        <v>165</v>
      </c>
      <c r="M17" s="9">
        <f t="shared" si="0"/>
        <v>70.640965615401896</v>
      </c>
      <c r="N17" s="9">
        <f t="shared" si="1"/>
        <v>107.31096317915645</v>
      </c>
      <c r="O17" s="9">
        <f t="shared" si="2"/>
        <v>18.772865867290093</v>
      </c>
      <c r="P17" s="9">
        <f t="shared" si="3"/>
        <v>133.18141772091727</v>
      </c>
      <c r="Q17" s="10">
        <f t="shared" si="4"/>
        <v>23.298615694243786</v>
      </c>
      <c r="R17" s="11">
        <f t="shared" si="18"/>
        <v>-0.44637538070413818</v>
      </c>
      <c r="S17" s="12">
        <f t="shared" si="19"/>
        <v>3.8140000000000001</v>
      </c>
      <c r="T17" s="13">
        <f t="shared" si="20"/>
        <v>2.9212492385917237</v>
      </c>
      <c r="U17" s="14">
        <f t="shared" si="21"/>
        <v>102.1506209674079</v>
      </c>
      <c r="W17" s="549" t="str">
        <f t="shared" si="22"/>
        <v>Max @ Rear</v>
      </c>
      <c r="X17" s="76">
        <f t="shared" si="23"/>
        <v>21.03574078076694</v>
      </c>
      <c r="Y17" s="76">
        <f t="shared" si="24"/>
        <v>120.24619045003685</v>
      </c>
      <c r="Z17" s="2"/>
      <c r="AA17" s="89">
        <f t="shared" si="5"/>
        <v>168.30930339410148</v>
      </c>
      <c r="AB17" s="90">
        <f t="shared" si="25"/>
        <v>-0.44637538070413818</v>
      </c>
      <c r="AC17" s="91">
        <f t="shared" si="6"/>
        <v>3.8140000000000001</v>
      </c>
      <c r="AD17" s="92">
        <f t="shared" si="7"/>
        <v>2.9212492385917237</v>
      </c>
      <c r="AE17" s="43">
        <f t="shared" si="8"/>
        <v>82.307890341970889</v>
      </c>
      <c r="AF17" s="2"/>
      <c r="AG17" s="89">
        <f t="shared" si="9"/>
        <v>208.88519660589847</v>
      </c>
      <c r="AH17" s="90">
        <f t="shared" si="26"/>
        <v>-0.44637538070413818</v>
      </c>
      <c r="AI17" s="91">
        <f t="shared" si="10"/>
        <v>3.8140000000000001</v>
      </c>
      <c r="AJ17" s="92">
        <f t="shared" si="11"/>
        <v>2.9212492385917237</v>
      </c>
      <c r="AK17" s="550">
        <f t="shared" si="12"/>
        <v>102.1506209674079</v>
      </c>
      <c r="AL17" s="42"/>
      <c r="AM17" s="525">
        <f t="shared" si="13"/>
        <v>165</v>
      </c>
      <c r="AN17" s="526"/>
      <c r="AO17" s="54">
        <f t="shared" si="44"/>
        <v>98.1</v>
      </c>
      <c r="AP17" s="75">
        <f t="shared" si="27"/>
        <v>0</v>
      </c>
      <c r="AQ17" s="75">
        <f t="shared" si="27"/>
        <v>0</v>
      </c>
      <c r="AR17" s="53">
        <f t="shared" si="27"/>
        <v>0</v>
      </c>
      <c r="AS17" s="55">
        <f t="shared" si="27"/>
        <v>0</v>
      </c>
      <c r="AT17" s="2"/>
      <c r="AU17" s="51">
        <f t="shared" si="14"/>
        <v>279.09449999999998</v>
      </c>
      <c r="AV17" s="50">
        <f t="shared" si="15"/>
        <v>-7.5571177504393683E-2</v>
      </c>
      <c r="AW17" s="50">
        <f t="shared" si="16"/>
        <v>0.64480400497718982</v>
      </c>
      <c r="AX17" s="69">
        <f t="shared" si="28"/>
        <v>-6.6845835853794027</v>
      </c>
      <c r="AY17" s="73">
        <f t="shared" si="29"/>
        <v>0.64921738093186043</v>
      </c>
      <c r="AZ17" s="527"/>
      <c r="BA17" s="58">
        <f t="shared" si="30"/>
        <v>0.2398837089210468</v>
      </c>
      <c r="BB17" s="57">
        <f t="shared" si="31"/>
        <v>-0.60327358130313224</v>
      </c>
      <c r="BC17" s="53">
        <f t="shared" si="32"/>
        <v>168.37033853700703</v>
      </c>
      <c r="BD17" s="55">
        <f t="shared" si="33"/>
        <v>66.950223799465093</v>
      </c>
      <c r="BE17" s="2"/>
      <c r="BF17" s="54">
        <f t="shared" si="34"/>
        <v>168.37033853700703</v>
      </c>
      <c r="BG17" s="53">
        <f t="shared" si="35"/>
        <v>66.950223799465093</v>
      </c>
      <c r="BH17" s="57">
        <f t="shared" si="36"/>
        <v>0.17749522805731552</v>
      </c>
      <c r="BI17" s="129">
        <f t="shared" si="37"/>
        <v>-0.44637538070413818</v>
      </c>
      <c r="BJ17" s="66" t="str">
        <f t="shared" si="17"/>
        <v>no</v>
      </c>
      <c r="BK17" s="2"/>
      <c r="BL17" s="70">
        <f t="shared" si="38"/>
        <v>181.19300032248714</v>
      </c>
      <c r="BM17" s="528">
        <f t="shared" si="39"/>
        <v>-21.684583585379421</v>
      </c>
      <c r="BN17" s="121"/>
      <c r="BO17" s="577">
        <f t="shared" si="40"/>
        <v>0.10757286548928213</v>
      </c>
      <c r="BP17" s="578">
        <f t="shared" si="41"/>
        <v>0.23407204022241121</v>
      </c>
      <c r="BR17" s="507" t="str">
        <f t="shared" si="42"/>
        <v>NO-OK</v>
      </c>
      <c r="BS17" s="512" t="str">
        <f t="shared" si="43"/>
        <v>NO-OK</v>
      </c>
    </row>
    <row r="18" spans="1:71" ht="20.100000000000001" customHeight="1" thickBot="1" x14ac:dyDescent="0.3">
      <c r="A18" s="844" t="s">
        <v>154</v>
      </c>
      <c r="B18" s="845"/>
      <c r="C18" s="845"/>
      <c r="D18" s="845"/>
      <c r="E18" s="845"/>
      <c r="F18" s="845"/>
      <c r="G18" s="817" t="s">
        <v>90</v>
      </c>
      <c r="H18" s="861" t="s">
        <v>89</v>
      </c>
      <c r="I18" s="858" t="s">
        <v>158</v>
      </c>
      <c r="J18" s="863" t="s">
        <v>29</v>
      </c>
      <c r="K18" s="241"/>
      <c r="L18" s="413">
        <f>+IF('Input Page'!$G$68="YES",Standing!L17+15,0)</f>
        <v>180</v>
      </c>
      <c r="M18" s="9">
        <f t="shared" si="0"/>
        <v>70.640965615401896</v>
      </c>
      <c r="N18" s="9">
        <f t="shared" si="1"/>
        <v>119.47035666616455</v>
      </c>
      <c r="O18" s="9">
        <f t="shared" si="2"/>
        <v>17.023677616280853</v>
      </c>
      <c r="P18" s="9">
        <f t="shared" si="3"/>
        <v>127.85184760982825</v>
      </c>
      <c r="Q18" s="10">
        <f t="shared" si="4"/>
        <v>18.217980569333964</v>
      </c>
      <c r="R18" s="11">
        <f t="shared" si="18"/>
        <v>-0.47710465387779066</v>
      </c>
      <c r="S18" s="12">
        <f t="shared" si="19"/>
        <v>3.8140000000000001</v>
      </c>
      <c r="T18" s="13">
        <f t="shared" si="20"/>
        <v>2.8597906922444185</v>
      </c>
      <c r="U18" s="14">
        <f t="shared" si="21"/>
        <v>97.404038377034851</v>
      </c>
      <c r="W18" s="549" t="str">
        <f t="shared" si="22"/>
        <v>Max @ Rear</v>
      </c>
      <c r="X18" s="76">
        <f t="shared" si="23"/>
        <v>17.620829092807409</v>
      </c>
      <c r="Y18" s="76">
        <f t="shared" si="24"/>
        <v>123.66110213799639</v>
      </c>
      <c r="Z18" s="2"/>
      <c r="AA18" s="89">
        <f t="shared" si="5"/>
        <v>182.20588636363632</v>
      </c>
      <c r="AB18" s="90">
        <f t="shared" si="25"/>
        <v>-0.47710465387779066</v>
      </c>
      <c r="AC18" s="91">
        <f t="shared" si="6"/>
        <v>3.8140000000000001</v>
      </c>
      <c r="AD18" s="92">
        <f t="shared" si="7"/>
        <v>2.8597906922444185</v>
      </c>
      <c r="AE18" s="43">
        <f t="shared" si="8"/>
        <v>91.018592403466968</v>
      </c>
      <c r="AF18" s="2"/>
      <c r="AG18" s="89">
        <f t="shared" si="9"/>
        <v>194.98861363636362</v>
      </c>
      <c r="AH18" s="90">
        <f t="shared" si="26"/>
        <v>-0.47710465387779066</v>
      </c>
      <c r="AI18" s="91">
        <f t="shared" si="10"/>
        <v>3.8140000000000001</v>
      </c>
      <c r="AJ18" s="92">
        <f t="shared" si="11"/>
        <v>2.8597906922444185</v>
      </c>
      <c r="AK18" s="550">
        <f t="shared" si="12"/>
        <v>97.404038377034851</v>
      </c>
      <c r="AL18" s="42"/>
      <c r="AM18" s="521">
        <f t="shared" si="13"/>
        <v>180</v>
      </c>
      <c r="AN18" s="522"/>
      <c r="AO18" s="60">
        <f t="shared" si="44"/>
        <v>98.1</v>
      </c>
      <c r="AP18" s="74">
        <f t="shared" si="27"/>
        <v>0</v>
      </c>
      <c r="AQ18" s="74">
        <f t="shared" si="27"/>
        <v>0</v>
      </c>
      <c r="AR18" s="61">
        <f t="shared" si="27"/>
        <v>0</v>
      </c>
      <c r="AS18" s="62">
        <f t="shared" si="27"/>
        <v>0</v>
      </c>
      <c r="AT18" s="67"/>
      <c r="AU18" s="63">
        <f t="shared" si="14"/>
        <v>279.09449999999998</v>
      </c>
      <c r="AV18" s="64">
        <f t="shared" si="15"/>
        <v>-7.5571177504393683E-2</v>
      </c>
      <c r="AW18" s="64">
        <f t="shared" si="16"/>
        <v>0.64480400497718982</v>
      </c>
      <c r="AX18" s="68">
        <f t="shared" si="28"/>
        <v>-6.6845835853794027</v>
      </c>
      <c r="AY18" s="72">
        <f t="shared" si="29"/>
        <v>0.64921738093186043</v>
      </c>
      <c r="AZ18" s="523"/>
      <c r="BA18" s="65">
        <f t="shared" si="30"/>
        <v>7.5571177504393794E-2</v>
      </c>
      <c r="BB18" s="66">
        <f t="shared" si="31"/>
        <v>-0.64480400497718982</v>
      </c>
      <c r="BC18" s="61">
        <f t="shared" si="32"/>
        <v>179.96125136710629</v>
      </c>
      <c r="BD18" s="62">
        <f t="shared" si="33"/>
        <v>21.091500000000032</v>
      </c>
      <c r="BE18" s="67"/>
      <c r="BF18" s="60">
        <f t="shared" si="34"/>
        <v>179.96125136710629</v>
      </c>
      <c r="BG18" s="61">
        <f t="shared" si="35"/>
        <v>21.091500000000032</v>
      </c>
      <c r="BH18" s="66">
        <f t="shared" si="36"/>
        <v>5.5916775032509844E-2</v>
      </c>
      <c r="BI18" s="128">
        <f t="shared" si="37"/>
        <v>-0.47710465387779066</v>
      </c>
      <c r="BJ18" s="66" t="str">
        <f t="shared" si="17"/>
        <v>no</v>
      </c>
      <c r="BK18" s="2"/>
      <c r="BL18" s="71">
        <f t="shared" si="38"/>
        <v>181.19300032248714</v>
      </c>
      <c r="BM18" s="524">
        <f t="shared" si="39"/>
        <v>-6.6845835853794124</v>
      </c>
      <c r="BN18" s="120"/>
      <c r="BO18" s="577">
        <f t="shared" si="40"/>
        <v>3.3888954565157482E-2</v>
      </c>
      <c r="BP18" s="578">
        <f t="shared" si="41"/>
        <v>0.25018597476549065</v>
      </c>
      <c r="BR18" s="507" t="str">
        <f t="shared" si="42"/>
        <v>NO-OK</v>
      </c>
      <c r="BS18" s="512" t="str">
        <f t="shared" si="43"/>
        <v>NO-OK</v>
      </c>
    </row>
    <row r="19" spans="1:71" ht="19.5" customHeight="1" thickBot="1" x14ac:dyDescent="0.3">
      <c r="A19" s="242" t="s">
        <v>155</v>
      </c>
      <c r="B19" s="194">
        <f>+'Input Page'!D57</f>
        <v>98.1</v>
      </c>
      <c r="C19" s="195">
        <f>+'Input Page'!E57</f>
        <v>9.9999999999999992E-25</v>
      </c>
      <c r="D19" s="195">
        <f>+'Input Page'!F57</f>
        <v>-9.9999999999999992E-25</v>
      </c>
      <c r="E19" s="194">
        <f>+'Input Page'!G57</f>
        <v>0</v>
      </c>
      <c r="F19" s="243">
        <f>+'Input Page'!H57</f>
        <v>0</v>
      </c>
      <c r="G19" s="860"/>
      <c r="H19" s="862"/>
      <c r="I19" s="859"/>
      <c r="J19" s="864"/>
      <c r="K19" s="241"/>
      <c r="L19" s="413">
        <f>+IF('Input Page'!$G$68="YES",Standing!L18+15,0)</f>
        <v>195</v>
      </c>
      <c r="M19" s="9">
        <f t="shared" si="0"/>
        <v>70.640965615401896</v>
      </c>
      <c r="N19" s="9">
        <f t="shared" si="1"/>
        <v>128.66110940588834</v>
      </c>
      <c r="O19" s="9">
        <f t="shared" si="2"/>
        <v>18.569417377212705</v>
      </c>
      <c r="P19" s="9">
        <f t="shared" si="3"/>
        <v>118.26444887783073</v>
      </c>
      <c r="Q19" s="10">
        <f t="shared" si="4"/>
        <v>17.068886800675809</v>
      </c>
      <c r="R19" s="11">
        <f t="shared" si="18"/>
        <v>-0.47532003334239159</v>
      </c>
      <c r="S19" s="12">
        <f t="shared" si="19"/>
        <v>3.8140000000000001</v>
      </c>
      <c r="T19" s="13">
        <f t="shared" si="20"/>
        <v>2.8633599333152171</v>
      </c>
      <c r="U19" s="14">
        <f t="shared" si="21"/>
        <v>98.055648299268455</v>
      </c>
      <c r="W19" s="549" t="str">
        <f t="shared" si="22"/>
        <v>Max @ Rear</v>
      </c>
      <c r="X19" s="76">
        <f t="shared" si="23"/>
        <v>17.819152088944257</v>
      </c>
      <c r="Y19" s="76">
        <f t="shared" si="24"/>
        <v>123.46277914185953</v>
      </c>
      <c r="Z19" s="2"/>
      <c r="AA19" s="89">
        <f t="shared" si="5"/>
        <v>196.53803020276158</v>
      </c>
      <c r="AB19" s="90">
        <f t="shared" si="25"/>
        <v>-0.47532003334239159</v>
      </c>
      <c r="AC19" s="91">
        <f t="shared" si="6"/>
        <v>3.8140000000000001</v>
      </c>
      <c r="AD19" s="92">
        <f t="shared" si="7"/>
        <v>2.8633599333152171</v>
      </c>
      <c r="AE19" s="43">
        <f t="shared" si="8"/>
        <v>98.055648299268455</v>
      </c>
      <c r="AF19" s="2"/>
      <c r="AG19" s="89">
        <f t="shared" si="9"/>
        <v>180.65646979723837</v>
      </c>
      <c r="AH19" s="90">
        <f t="shared" si="26"/>
        <v>-0.47532003334239159</v>
      </c>
      <c r="AI19" s="91">
        <f t="shared" si="10"/>
        <v>3.8140000000000001</v>
      </c>
      <c r="AJ19" s="92">
        <f t="shared" si="11"/>
        <v>2.8633599333152171</v>
      </c>
      <c r="AK19" s="550">
        <f t="shared" si="12"/>
        <v>90.132109531931761</v>
      </c>
      <c r="AL19" s="42"/>
      <c r="AM19" s="525">
        <f t="shared" si="13"/>
        <v>195</v>
      </c>
      <c r="AN19" s="526"/>
      <c r="AO19" s="54">
        <f t="shared" si="44"/>
        <v>98.1</v>
      </c>
      <c r="AP19" s="75">
        <f t="shared" si="27"/>
        <v>0</v>
      </c>
      <c r="AQ19" s="75">
        <f t="shared" si="27"/>
        <v>0</v>
      </c>
      <c r="AR19" s="53">
        <f t="shared" si="27"/>
        <v>0</v>
      </c>
      <c r="AS19" s="55">
        <f t="shared" si="27"/>
        <v>0</v>
      </c>
      <c r="AT19" s="2"/>
      <c r="AU19" s="51">
        <f t="shared" si="14"/>
        <v>279.09449999999998</v>
      </c>
      <c r="AV19" s="50">
        <f t="shared" si="15"/>
        <v>-7.5571177504393683E-2</v>
      </c>
      <c r="AW19" s="50">
        <f t="shared" si="16"/>
        <v>0.64480400497718982</v>
      </c>
      <c r="AX19" s="69">
        <f t="shared" si="28"/>
        <v>-6.6845835853794027</v>
      </c>
      <c r="AY19" s="73">
        <f t="shared" si="29"/>
        <v>0.64921738093186043</v>
      </c>
      <c r="AZ19" s="527"/>
      <c r="BA19" s="58">
        <f t="shared" si="30"/>
        <v>-9.3891404771907966E-2</v>
      </c>
      <c r="BB19" s="57">
        <f t="shared" si="31"/>
        <v>-0.64239210130105284</v>
      </c>
      <c r="BC19" s="53">
        <f t="shared" si="32"/>
        <v>179.28810231656669</v>
      </c>
      <c r="BD19" s="55">
        <f t="shared" si="33"/>
        <v>-26.204574669113267</v>
      </c>
      <c r="BE19" s="2"/>
      <c r="BF19" s="54">
        <f t="shared" si="34"/>
        <v>179.28810231656669</v>
      </c>
      <c r="BG19" s="53">
        <f t="shared" si="35"/>
        <v>-26.204574669113267</v>
      </c>
      <c r="BH19" s="57">
        <f t="shared" si="36"/>
        <v>-6.9472313803921507E-2</v>
      </c>
      <c r="BI19" s="129">
        <f t="shared" si="37"/>
        <v>-0.47532003334239159</v>
      </c>
      <c r="BJ19" s="66" t="str">
        <f t="shared" si="17"/>
        <v>no</v>
      </c>
      <c r="BK19" s="2"/>
      <c r="BL19" s="70">
        <f t="shared" si="38"/>
        <v>181.19300032248714</v>
      </c>
      <c r="BM19" s="528">
        <f t="shared" si="39"/>
        <v>8.3154164146205947</v>
      </c>
      <c r="BN19" s="121"/>
      <c r="BO19" s="577">
        <f t="shared" si="40"/>
        <v>4.2104432608437277E-2</v>
      </c>
      <c r="BP19" s="578">
        <f t="shared" si="41"/>
        <v>0.24925014858017389</v>
      </c>
      <c r="BR19" s="507" t="str">
        <f t="shared" si="42"/>
        <v>NO-OK</v>
      </c>
      <c r="BS19" s="512" t="str">
        <f t="shared" si="43"/>
        <v>NO-OK</v>
      </c>
    </row>
    <row r="20" spans="1:71" ht="19.5" customHeight="1" x14ac:dyDescent="0.25">
      <c r="A20" s="244" t="s">
        <v>74</v>
      </c>
      <c r="B20" s="245">
        <f>+G20</f>
        <v>0</v>
      </c>
      <c r="C20" s="246">
        <f>+'Input Page'!E62</f>
        <v>0</v>
      </c>
      <c r="D20" s="246">
        <f>+'Input Page'!F62</f>
        <v>0</v>
      </c>
      <c r="E20" s="245">
        <f>+B20*D20*-1</f>
        <v>0</v>
      </c>
      <c r="F20" s="247">
        <f>+B20*C20</f>
        <v>0</v>
      </c>
      <c r="G20" s="248">
        <v>0</v>
      </c>
      <c r="H20" s="249">
        <f>+'Input Page'!D62</f>
        <v>0</v>
      </c>
      <c r="I20" s="221">
        <f>+IF(J20=0,-1E-24,G20/J20*-1)</f>
        <v>-9.9999999999999992E-25</v>
      </c>
      <c r="J20" s="222">
        <f>+'Input Page'!C62</f>
        <v>0</v>
      </c>
      <c r="K20" s="241"/>
      <c r="L20" s="413">
        <f>+IF('Input Page'!$G$68="YES",Standing!L19+15,0)</f>
        <v>210</v>
      </c>
      <c r="M20" s="9">
        <f t="shared" si="0"/>
        <v>70.640965615401896</v>
      </c>
      <c r="N20" s="9">
        <f t="shared" si="1"/>
        <v>133.45352165870503</v>
      </c>
      <c r="O20" s="9">
        <f t="shared" si="2"/>
        <v>24.108110668681523</v>
      </c>
      <c r="P20" s="9">
        <f t="shared" si="3"/>
        <v>105.87595203343243</v>
      </c>
      <c r="Q20" s="10">
        <f t="shared" si="4"/>
        <v>19.126278100788586</v>
      </c>
      <c r="R20" s="11">
        <f t="shared" si="18"/>
        <v>-0.44114313803820343</v>
      </c>
      <c r="S20" s="12">
        <f t="shared" si="19"/>
        <v>3.8140000000000001</v>
      </c>
      <c r="T20" s="13">
        <f t="shared" si="20"/>
        <v>2.9317137239235933</v>
      </c>
      <c r="U20" s="14">
        <f t="shared" si="21"/>
        <v>102.48955428233245</v>
      </c>
      <c r="W20" s="549" t="str">
        <f t="shared" si="22"/>
        <v>Max @ Rear</v>
      </c>
      <c r="X20" s="76">
        <f t="shared" si="23"/>
        <v>21.617194384735054</v>
      </c>
      <c r="Y20" s="76">
        <f t="shared" si="24"/>
        <v>119.66473684606873</v>
      </c>
      <c r="Z20" s="2"/>
      <c r="AA20" s="89">
        <f t="shared" si="5"/>
        <v>210.32902299382835</v>
      </c>
      <c r="AB20" s="90">
        <f t="shared" si="25"/>
        <v>-0.44114313803820343</v>
      </c>
      <c r="AC20" s="91">
        <f t="shared" si="6"/>
        <v>3.8140000000000001</v>
      </c>
      <c r="AD20" s="92">
        <f t="shared" si="7"/>
        <v>2.9317137239235933</v>
      </c>
      <c r="AE20" s="43">
        <f t="shared" si="8"/>
        <v>102.48955428233245</v>
      </c>
      <c r="AF20" s="2"/>
      <c r="AG20" s="89">
        <f t="shared" si="9"/>
        <v>166.8654770061716</v>
      </c>
      <c r="AH20" s="90">
        <f t="shared" si="26"/>
        <v>-0.44114313803820343</v>
      </c>
      <c r="AI20" s="91">
        <f t="shared" si="10"/>
        <v>3.8140000000000001</v>
      </c>
      <c r="AJ20" s="92">
        <f t="shared" si="11"/>
        <v>2.9317137239235933</v>
      </c>
      <c r="AK20" s="550">
        <f t="shared" si="12"/>
        <v>81.310549157893206</v>
      </c>
      <c r="AL20" s="42"/>
      <c r="AM20" s="525">
        <f t="shared" si="13"/>
        <v>210</v>
      </c>
      <c r="AN20" s="526"/>
      <c r="AO20" s="54">
        <f t="shared" si="44"/>
        <v>98.1</v>
      </c>
      <c r="AP20" s="75">
        <f t="shared" si="27"/>
        <v>0</v>
      </c>
      <c r="AQ20" s="75">
        <f t="shared" si="27"/>
        <v>0</v>
      </c>
      <c r="AR20" s="53">
        <f t="shared" si="27"/>
        <v>0</v>
      </c>
      <c r="AS20" s="55">
        <f t="shared" si="27"/>
        <v>0</v>
      </c>
      <c r="AT20" s="2"/>
      <c r="AU20" s="51">
        <f t="shared" si="14"/>
        <v>279.09449999999998</v>
      </c>
      <c r="AV20" s="50">
        <f t="shared" si="15"/>
        <v>-7.5571177504393683E-2</v>
      </c>
      <c r="AW20" s="50">
        <f t="shared" si="16"/>
        <v>0.64480400497718982</v>
      </c>
      <c r="AX20" s="69">
        <f t="shared" si="28"/>
        <v>-6.6845835853794027</v>
      </c>
      <c r="AY20" s="73">
        <f t="shared" si="29"/>
        <v>0.64921738093186043</v>
      </c>
      <c r="AZ20" s="527"/>
      <c r="BA20" s="58">
        <f t="shared" si="30"/>
        <v>-0.25695544297588663</v>
      </c>
      <c r="BB20" s="57">
        <f t="shared" si="31"/>
        <v>-0.59620223752439094</v>
      </c>
      <c r="BC20" s="53">
        <f t="shared" si="32"/>
        <v>166.39676538075111</v>
      </c>
      <c r="BD20" s="55">
        <f t="shared" si="33"/>
        <v>-71.714850879633588</v>
      </c>
      <c r="BE20" s="2"/>
      <c r="BF20" s="54">
        <f t="shared" si="34"/>
        <v>166.39676538075111</v>
      </c>
      <c r="BG20" s="53">
        <f t="shared" si="35"/>
        <v>-71.714850879633588</v>
      </c>
      <c r="BH20" s="57">
        <f t="shared" si="36"/>
        <v>-0.19012697926304226</v>
      </c>
      <c r="BI20" s="129">
        <f t="shared" si="37"/>
        <v>-0.44114313803820343</v>
      </c>
      <c r="BJ20" s="66" t="str">
        <f t="shared" si="17"/>
        <v>no</v>
      </c>
      <c r="BK20" s="2"/>
      <c r="BL20" s="70">
        <f t="shared" si="38"/>
        <v>181.19300032248711</v>
      </c>
      <c r="BM20" s="528">
        <f t="shared" si="39"/>
        <v>23.315416414620575</v>
      </c>
      <c r="BN20" s="121"/>
      <c r="BO20" s="577">
        <f t="shared" si="40"/>
        <v>0.11522847228063168</v>
      </c>
      <c r="BP20" s="578">
        <f t="shared" si="41"/>
        <v>0.23132833667446431</v>
      </c>
      <c r="BR20" s="507" t="str">
        <f t="shared" si="42"/>
        <v>NO-OK</v>
      </c>
      <c r="BS20" s="512" t="str">
        <f t="shared" si="43"/>
        <v>NO-OK</v>
      </c>
    </row>
    <row r="21" spans="1:71" ht="18.75" customHeight="1" x14ac:dyDescent="0.25">
      <c r="A21" s="200" t="s">
        <v>75</v>
      </c>
      <c r="B21" s="201">
        <f>+G21</f>
        <v>0</v>
      </c>
      <c r="C21" s="202">
        <f>+'Input Page'!E63</f>
        <v>0</v>
      </c>
      <c r="D21" s="202">
        <f>+'Input Page'!F63</f>
        <v>0</v>
      </c>
      <c r="E21" s="201">
        <f t="shared" ref="E21:E23" si="49">+B21*D21*-1</f>
        <v>0</v>
      </c>
      <c r="F21" s="250">
        <f t="shared" ref="F21:F23" si="50">+B21*C21</f>
        <v>0</v>
      </c>
      <c r="G21" s="251">
        <v>0</v>
      </c>
      <c r="H21" s="252">
        <f>+'Input Page'!D63</f>
        <v>0</v>
      </c>
      <c r="I21" s="221">
        <f t="shared" ref="I21:I23" si="51">+IF(J21=0,-1E-24,G21/J21*-1)</f>
        <v>-9.9999999999999992E-25</v>
      </c>
      <c r="J21" s="222">
        <f>+'Input Page'!C63</f>
        <v>0</v>
      </c>
      <c r="K21" s="241"/>
      <c r="L21" s="413">
        <f>+IF('Input Page'!$G$68="YES",Standing!L20+15,0)</f>
        <v>225</v>
      </c>
      <c r="M21" s="9">
        <f t="shared" si="0"/>
        <v>70.640965615401896</v>
      </c>
      <c r="N21" s="9">
        <f t="shared" si="1"/>
        <v>132.83670018040962</v>
      </c>
      <c r="O21" s="9">
        <f t="shared" si="2"/>
        <v>33.946602965008488</v>
      </c>
      <c r="P21" s="9">
        <f t="shared" si="3"/>
        <v>92.214910932631383</v>
      </c>
      <c r="Q21" s="10">
        <f t="shared" si="4"/>
        <v>23.56564838355807</v>
      </c>
      <c r="R21" s="11">
        <f t="shared" si="18"/>
        <v>-0.37690306690021674</v>
      </c>
      <c r="S21" s="12">
        <f t="shared" si="19"/>
        <v>3.8140000000000001</v>
      </c>
      <c r="T21" s="13">
        <f t="shared" si="20"/>
        <v>3.0601938661995667</v>
      </c>
      <c r="U21" s="14">
        <f t="shared" si="21"/>
        <v>103.93320587015737</v>
      </c>
      <c r="W21" s="549" t="str">
        <f t="shared" si="22"/>
        <v>Max @ Rear</v>
      </c>
      <c r="X21" s="76">
        <f t="shared" si="23"/>
        <v>28.756125674283279</v>
      </c>
      <c r="Y21" s="76">
        <f t="shared" si="24"/>
        <v>112.52580555652051</v>
      </c>
      <c r="Z21" s="2"/>
      <c r="AA21" s="89">
        <f t="shared" si="5"/>
        <v>222.63903136881865</v>
      </c>
      <c r="AB21" s="90">
        <f t="shared" si="25"/>
        <v>-0.37690306690021674</v>
      </c>
      <c r="AC21" s="91">
        <f t="shared" si="6"/>
        <v>3.8140000000000001</v>
      </c>
      <c r="AD21" s="92">
        <f t="shared" si="7"/>
        <v>3.0601938661995667</v>
      </c>
      <c r="AE21" s="43">
        <f t="shared" si="8"/>
        <v>103.93320587015737</v>
      </c>
      <c r="AF21" s="2"/>
      <c r="AG21" s="89">
        <f t="shared" si="9"/>
        <v>154.5554686311813</v>
      </c>
      <c r="AH21" s="90">
        <f t="shared" si="26"/>
        <v>-0.37690306690021674</v>
      </c>
      <c r="AI21" s="91">
        <f t="shared" si="10"/>
        <v>3.8140000000000001</v>
      </c>
      <c r="AJ21" s="92">
        <f t="shared" si="11"/>
        <v>3.0601938661995667</v>
      </c>
      <c r="AK21" s="550">
        <f t="shared" si="12"/>
        <v>72.150176188077666</v>
      </c>
      <c r="AL21" s="42"/>
      <c r="AM21" s="525">
        <f t="shared" si="13"/>
        <v>225</v>
      </c>
      <c r="AN21" s="526"/>
      <c r="AO21" s="54">
        <f t="shared" si="44"/>
        <v>98.1</v>
      </c>
      <c r="AP21" s="75">
        <f t="shared" si="27"/>
        <v>0</v>
      </c>
      <c r="AQ21" s="75">
        <f t="shared" si="27"/>
        <v>0</v>
      </c>
      <c r="AR21" s="53">
        <f t="shared" si="27"/>
        <v>0</v>
      </c>
      <c r="AS21" s="55">
        <f t="shared" si="27"/>
        <v>0</v>
      </c>
      <c r="AT21" s="2"/>
      <c r="AU21" s="51">
        <f t="shared" si="14"/>
        <v>279.09449999999998</v>
      </c>
      <c r="AV21" s="50">
        <f t="shared" si="15"/>
        <v>-7.5571177504393683E-2</v>
      </c>
      <c r="AW21" s="50">
        <f t="shared" si="16"/>
        <v>0.64480400497718982</v>
      </c>
      <c r="AX21" s="69">
        <f t="shared" si="28"/>
        <v>-6.6845835853794027</v>
      </c>
      <c r="AY21" s="73">
        <f t="shared" si="29"/>
        <v>0.64921738093186043</v>
      </c>
      <c r="AZ21" s="527"/>
      <c r="BA21" s="58">
        <f t="shared" si="30"/>
        <v>-0.40250839238000607</v>
      </c>
      <c r="BB21" s="57">
        <f t="shared" si="31"/>
        <v>-0.50938217653122431</v>
      </c>
      <c r="BC21" s="53">
        <f t="shared" si="32"/>
        <v>142.16576386789379</v>
      </c>
      <c r="BD21" s="55">
        <f t="shared" si="33"/>
        <v>-112.3378785171016</v>
      </c>
      <c r="BE21" s="2"/>
      <c r="BF21" s="54">
        <f t="shared" si="34"/>
        <v>142.16576386789379</v>
      </c>
      <c r="BG21" s="53">
        <f t="shared" si="35"/>
        <v>-112.3378785171016</v>
      </c>
      <c r="BH21" s="57">
        <f t="shared" si="36"/>
        <v>-0.29782480528507604</v>
      </c>
      <c r="BI21" s="129">
        <f t="shared" si="37"/>
        <v>-0.37690306690021674</v>
      </c>
      <c r="BJ21" s="66" t="str">
        <f t="shared" si="17"/>
        <v>no</v>
      </c>
      <c r="BK21" s="2"/>
      <c r="BL21" s="70">
        <f t="shared" si="38"/>
        <v>181.19300032248711</v>
      </c>
      <c r="BM21" s="528">
        <f t="shared" si="39"/>
        <v>38.315416414620586</v>
      </c>
      <c r="BN21" s="121"/>
      <c r="BO21" s="577">
        <f t="shared" si="40"/>
        <v>0.18049988199095518</v>
      </c>
      <c r="BP21" s="578">
        <f t="shared" si="41"/>
        <v>0.19764188091254156</v>
      </c>
      <c r="BR21" s="507" t="str">
        <f t="shared" si="42"/>
        <v>NO-OK</v>
      </c>
      <c r="BS21" s="512" t="str">
        <f t="shared" si="43"/>
        <v>NO-OK</v>
      </c>
    </row>
    <row r="22" spans="1:71" ht="20.100000000000001" customHeight="1" x14ac:dyDescent="0.25">
      <c r="A22" s="200" t="s">
        <v>77</v>
      </c>
      <c r="B22" s="201">
        <f>+G22</f>
        <v>0</v>
      </c>
      <c r="C22" s="202">
        <f>+'Input Page'!E64</f>
        <v>0</v>
      </c>
      <c r="D22" s="202">
        <f>+'Input Page'!F64</f>
        <v>0</v>
      </c>
      <c r="E22" s="201">
        <f t="shared" si="49"/>
        <v>0</v>
      </c>
      <c r="F22" s="250">
        <f t="shared" si="50"/>
        <v>0</v>
      </c>
      <c r="G22" s="251">
        <v>0</v>
      </c>
      <c r="H22" s="252">
        <f>+'Input Page'!D64</f>
        <v>0</v>
      </c>
      <c r="I22" s="221">
        <f t="shared" si="51"/>
        <v>-9.9999999999999992E-25</v>
      </c>
      <c r="J22" s="222">
        <f>+'Input Page'!C64</f>
        <v>0</v>
      </c>
      <c r="K22" s="253"/>
      <c r="L22" s="413">
        <f>+IF('Input Page'!$G$68="YES",Standing!L21+15,0)</f>
        <v>240</v>
      </c>
      <c r="M22" s="9">
        <f t="shared" si="0"/>
        <v>70.640965615401896</v>
      </c>
      <c r="N22" s="9">
        <f t="shared" si="1"/>
        <v>126.47080609479067</v>
      </c>
      <c r="O22" s="9">
        <f t="shared" si="2"/>
        <v>47.79629151568772</v>
      </c>
      <c r="P22" s="9">
        <f t="shared" si="3"/>
        <v>78.59417719112092</v>
      </c>
      <c r="Q22" s="10">
        <f t="shared" si="4"/>
        <v>29.702587660008287</v>
      </c>
      <c r="R22" s="11">
        <f t="shared" si="18"/>
        <v>-0.28697767461474827</v>
      </c>
      <c r="S22" s="12">
        <f t="shared" si="19"/>
        <v>3.8140000000000001</v>
      </c>
      <c r="T22" s="13">
        <f t="shared" si="20"/>
        <v>3.2400446507705034</v>
      </c>
      <c r="U22" s="14">
        <f t="shared" si="21"/>
        <v>102.56875782997395</v>
      </c>
      <c r="W22" s="549" t="str">
        <f t="shared" si="22"/>
        <v>Max @ Rear</v>
      </c>
      <c r="X22" s="76">
        <f t="shared" si="23"/>
        <v>38.749439587848002</v>
      </c>
      <c r="Y22" s="76">
        <f t="shared" si="24"/>
        <v>102.53249164295579</v>
      </c>
      <c r="Z22" s="2"/>
      <c r="AA22" s="89">
        <f t="shared" si="5"/>
        <v>232.62914860022758</v>
      </c>
      <c r="AB22" s="90">
        <f t="shared" si="25"/>
        <v>-0.28697767461474827</v>
      </c>
      <c r="AC22" s="91">
        <f t="shared" si="6"/>
        <v>3.8140000000000001</v>
      </c>
      <c r="AD22" s="92">
        <f t="shared" si="7"/>
        <v>3.2400446507705034</v>
      </c>
      <c r="AE22" s="43">
        <f t="shared" si="8"/>
        <v>102.56875782997395</v>
      </c>
      <c r="AF22" s="2"/>
      <c r="AG22" s="89">
        <f t="shared" si="9"/>
        <v>144.56535139977237</v>
      </c>
      <c r="AH22" s="90">
        <f t="shared" si="26"/>
        <v>-0.28697767461474827</v>
      </c>
      <c r="AI22" s="91">
        <f t="shared" si="10"/>
        <v>3.8140000000000001</v>
      </c>
      <c r="AJ22" s="92">
        <f t="shared" si="11"/>
        <v>3.2400446507705034</v>
      </c>
      <c r="AK22" s="550">
        <f t="shared" si="12"/>
        <v>63.740458182263367</v>
      </c>
      <c r="AL22" s="42"/>
      <c r="AM22" s="525">
        <f t="shared" si="13"/>
        <v>240</v>
      </c>
      <c r="AN22" s="526"/>
      <c r="AO22" s="54">
        <f t="shared" si="44"/>
        <v>98.1</v>
      </c>
      <c r="AP22" s="75">
        <f t="shared" si="27"/>
        <v>0</v>
      </c>
      <c r="AQ22" s="75">
        <f t="shared" si="27"/>
        <v>0</v>
      </c>
      <c r="AR22" s="53">
        <f t="shared" si="27"/>
        <v>0</v>
      </c>
      <c r="AS22" s="55">
        <f t="shared" si="27"/>
        <v>0</v>
      </c>
      <c r="AT22" s="2"/>
      <c r="AU22" s="51">
        <f t="shared" si="14"/>
        <v>279.09449999999998</v>
      </c>
      <c r="AV22" s="50">
        <f t="shared" si="15"/>
        <v>-7.5571177504393683E-2</v>
      </c>
      <c r="AW22" s="50">
        <f t="shared" si="16"/>
        <v>0.64480400497718982</v>
      </c>
      <c r="AX22" s="69">
        <f t="shared" si="28"/>
        <v>-6.6845835853794027</v>
      </c>
      <c r="AY22" s="73">
        <f t="shared" si="29"/>
        <v>0.64921738093186043</v>
      </c>
      <c r="AZ22" s="527"/>
      <c r="BA22" s="58">
        <f t="shared" si="30"/>
        <v>-0.52063106001999715</v>
      </c>
      <c r="BB22" s="57">
        <f t="shared" si="31"/>
        <v>-0.38784856200130297</v>
      </c>
      <c r="BC22" s="53">
        <f t="shared" si="32"/>
        <v>108.24640048747264</v>
      </c>
      <c r="BD22" s="55">
        <f t="shared" si="33"/>
        <v>-145.30526538075108</v>
      </c>
      <c r="BE22" s="2"/>
      <c r="BF22" s="54">
        <f t="shared" si="34"/>
        <v>108.24640048747264</v>
      </c>
      <c r="BG22" s="53">
        <f t="shared" si="35"/>
        <v>-145.30526538075108</v>
      </c>
      <c r="BH22" s="57">
        <f t="shared" si="36"/>
        <v>-0.38522636300569363</v>
      </c>
      <c r="BI22" s="129">
        <f t="shared" si="37"/>
        <v>-0.28697767461474827</v>
      </c>
      <c r="BJ22" s="66" t="str">
        <f t="shared" si="17"/>
        <v>no</v>
      </c>
      <c r="BK22" s="2"/>
      <c r="BL22" s="70">
        <f t="shared" si="38"/>
        <v>181.19300032248711</v>
      </c>
      <c r="BM22" s="528">
        <f t="shared" si="39"/>
        <v>53.315416414620593</v>
      </c>
      <c r="BN22" s="121"/>
      <c r="BO22" s="577">
        <f t="shared" si="40"/>
        <v>0.23347052303375374</v>
      </c>
      <c r="BP22" s="578">
        <f t="shared" si="41"/>
        <v>0.15048645758508036</v>
      </c>
      <c r="BR22" s="507" t="str">
        <f t="shared" si="42"/>
        <v>NO-OK</v>
      </c>
      <c r="BS22" s="512" t="str">
        <f t="shared" si="43"/>
        <v>NO-OK</v>
      </c>
    </row>
    <row r="23" spans="1:71" ht="16.5" thickBot="1" x14ac:dyDescent="0.3">
      <c r="A23" s="207" t="s">
        <v>78</v>
      </c>
      <c r="B23" s="208">
        <f>+G23</f>
        <v>0</v>
      </c>
      <c r="C23" s="209">
        <f>+'Input Page'!E65</f>
        <v>0</v>
      </c>
      <c r="D23" s="209">
        <f>+'Input Page'!F65</f>
        <v>0</v>
      </c>
      <c r="E23" s="208">
        <f t="shared" si="49"/>
        <v>0</v>
      </c>
      <c r="F23" s="254">
        <f t="shared" si="50"/>
        <v>0</v>
      </c>
      <c r="G23" s="255">
        <v>0</v>
      </c>
      <c r="H23" s="256">
        <f>+'Input Page'!D65</f>
        <v>0</v>
      </c>
      <c r="I23" s="234">
        <f t="shared" si="51"/>
        <v>-9.9999999999999992E-25</v>
      </c>
      <c r="J23" s="235">
        <f>+'Input Page'!C65</f>
        <v>0</v>
      </c>
      <c r="K23" s="253"/>
      <c r="L23" s="413">
        <f>+IF('Input Page'!$G$68="YES",Standing!L22+15,0)</f>
        <v>255</v>
      </c>
      <c r="M23" s="9">
        <f t="shared" si="0"/>
        <v>70.640965615401896</v>
      </c>
      <c r="N23" s="9">
        <f t="shared" si="1"/>
        <v>114.8125372458161</v>
      </c>
      <c r="O23" s="9">
        <f t="shared" si="2"/>
        <v>64.690470251512465</v>
      </c>
      <c r="P23" s="9">
        <f t="shared" si="3"/>
        <v>65.919108621887744</v>
      </c>
      <c r="Q23" s="10">
        <f t="shared" si="4"/>
        <v>37.141746342391244</v>
      </c>
      <c r="R23" s="11">
        <f t="shared" si="18"/>
        <v>-0.17749522805731552</v>
      </c>
      <c r="S23" s="12">
        <f t="shared" si="19"/>
        <v>3.8140000000000001</v>
      </c>
      <c r="T23" s="13">
        <f t="shared" si="20"/>
        <v>3.4590095438853692</v>
      </c>
      <c r="U23" s="14">
        <f t="shared" si="21"/>
        <v>98.962500957109157</v>
      </c>
      <c r="W23" s="549" t="str">
        <f t="shared" si="22"/>
        <v>Max @ Rear</v>
      </c>
      <c r="X23" s="76">
        <f t="shared" si="23"/>
        <v>50.916108296951855</v>
      </c>
      <c r="Y23" s="76">
        <f t="shared" si="24"/>
        <v>90.365822933851931</v>
      </c>
      <c r="Z23" s="2"/>
      <c r="AA23" s="89">
        <f t="shared" si="5"/>
        <v>239.61856470818392</v>
      </c>
      <c r="AB23" s="90">
        <f t="shared" si="25"/>
        <v>-0.17749522805731552</v>
      </c>
      <c r="AC23" s="91">
        <f t="shared" si="6"/>
        <v>3.8140000000000001</v>
      </c>
      <c r="AD23" s="92">
        <f t="shared" si="7"/>
        <v>3.4590095438853692</v>
      </c>
      <c r="AE23" s="43">
        <f t="shared" si="8"/>
        <v>98.962500957109157</v>
      </c>
      <c r="AF23" s="2"/>
      <c r="AG23" s="89">
        <f t="shared" si="9"/>
        <v>137.57593529181602</v>
      </c>
      <c r="AH23" s="90">
        <f t="shared" si="26"/>
        <v>-0.17749522805731552</v>
      </c>
      <c r="AI23" s="91">
        <f t="shared" si="10"/>
        <v>3.8140000000000001</v>
      </c>
      <c r="AJ23" s="92">
        <f t="shared" si="11"/>
        <v>3.4590095438853692</v>
      </c>
      <c r="AK23" s="550">
        <f t="shared" si="12"/>
        <v>56.818880642959343</v>
      </c>
      <c r="AL23" s="42"/>
      <c r="AM23" s="525">
        <f t="shared" si="13"/>
        <v>255</v>
      </c>
      <c r="AN23" s="526"/>
      <c r="AO23" s="54">
        <f t="shared" si="44"/>
        <v>98.1</v>
      </c>
      <c r="AP23" s="75">
        <f t="shared" si="44"/>
        <v>0</v>
      </c>
      <c r="AQ23" s="75">
        <f t="shared" si="44"/>
        <v>0</v>
      </c>
      <c r="AR23" s="53">
        <f t="shared" si="44"/>
        <v>0</v>
      </c>
      <c r="AS23" s="55">
        <f t="shared" si="44"/>
        <v>0</v>
      </c>
      <c r="AT23" s="2"/>
      <c r="AU23" s="51">
        <f t="shared" si="14"/>
        <v>279.09449999999998</v>
      </c>
      <c r="AV23" s="50">
        <f t="shared" si="15"/>
        <v>-7.5571177504393683E-2</v>
      </c>
      <c r="AW23" s="50">
        <f t="shared" si="16"/>
        <v>0.64480400497718982</v>
      </c>
      <c r="AX23" s="69">
        <f t="shared" si="28"/>
        <v>-6.6845835853794027</v>
      </c>
      <c r="AY23" s="73">
        <f t="shared" si="29"/>
        <v>0.64921738093186043</v>
      </c>
      <c r="AZ23" s="527"/>
      <c r="BA23" s="58">
        <f t="shared" si="30"/>
        <v>-0.60327358130313213</v>
      </c>
      <c r="BB23" s="57">
        <f t="shared" si="31"/>
        <v>-0.23988370892104682</v>
      </c>
      <c r="BC23" s="53">
        <f t="shared" si="32"/>
        <v>66.950223799465093</v>
      </c>
      <c r="BD23" s="55">
        <f t="shared" si="33"/>
        <v>-168.370338537007</v>
      </c>
      <c r="BE23" s="2"/>
      <c r="BF23" s="54">
        <f t="shared" si="34"/>
        <v>66.950223799465093</v>
      </c>
      <c r="BG23" s="53">
        <f t="shared" si="35"/>
        <v>-168.370338537007</v>
      </c>
      <c r="BH23" s="57">
        <f t="shared" si="36"/>
        <v>-0.44637538070413812</v>
      </c>
      <c r="BI23" s="129">
        <f t="shared" si="37"/>
        <v>-0.17749522805731552</v>
      </c>
      <c r="BJ23" s="66" t="str">
        <f t="shared" si="17"/>
        <v>no</v>
      </c>
      <c r="BK23" s="2"/>
      <c r="BL23" s="70">
        <f t="shared" si="38"/>
        <v>181.19300032248708</v>
      </c>
      <c r="BM23" s="528">
        <f t="shared" si="39"/>
        <v>68.315416414620586</v>
      </c>
      <c r="BN23" s="121"/>
      <c r="BO23" s="577">
        <f t="shared" si="40"/>
        <v>0.27053053376008374</v>
      </c>
      <c r="BP23" s="578">
        <f t="shared" si="41"/>
        <v>9.3075630863825656E-2</v>
      </c>
      <c r="BR23" s="507" t="str">
        <f t="shared" si="42"/>
        <v>NO-OK</v>
      </c>
      <c r="BS23" s="512" t="str">
        <f t="shared" si="43"/>
        <v>NO-OK</v>
      </c>
    </row>
    <row r="24" spans="1:71" ht="16.5" thickBot="1" x14ac:dyDescent="0.3">
      <c r="A24" s="831" t="s">
        <v>156</v>
      </c>
      <c r="B24" s="829">
        <f>+SUM(B19:B23)</f>
        <v>98.1</v>
      </c>
      <c r="C24" s="825">
        <f>+F24/B24</f>
        <v>0</v>
      </c>
      <c r="D24" s="825">
        <f>+E24/B24*-1</f>
        <v>0</v>
      </c>
      <c r="E24" s="829">
        <f>+SUM(E19:E23)</f>
        <v>0</v>
      </c>
      <c r="F24" s="842">
        <f>+SUM(F19:F23)</f>
        <v>0</v>
      </c>
      <c r="G24" s="913" t="s">
        <v>160</v>
      </c>
      <c r="H24" s="913"/>
      <c r="I24" s="240">
        <f>+MAX(I20:I23)</f>
        <v>-9.9999999999999992E-25</v>
      </c>
      <c r="J24" s="154"/>
      <c r="K24" s="253"/>
      <c r="L24" s="413">
        <f>+IF('Input Page'!$G$68="YES",Standing!L23+15,0)</f>
        <v>270</v>
      </c>
      <c r="M24" s="9">
        <f t="shared" si="0"/>
        <v>70.640965615401896</v>
      </c>
      <c r="N24" s="9">
        <f t="shared" si="1"/>
        <v>99.07787627757952</v>
      </c>
      <c r="O24" s="9">
        <f t="shared" si="2"/>
        <v>83.056337922350636</v>
      </c>
      <c r="P24" s="9">
        <f t="shared" si="3"/>
        <v>54.631999313147851</v>
      </c>
      <c r="Q24" s="10">
        <f t="shared" si="4"/>
        <v>45.797648948529599</v>
      </c>
      <c r="R24" s="11">
        <f t="shared" si="18"/>
        <v>-5.591677503251008E-2</v>
      </c>
      <c r="S24" s="12">
        <f t="shared" si="19"/>
        <v>3.8140000000000001</v>
      </c>
      <c r="T24" s="13">
        <f t="shared" si="20"/>
        <v>3.70216644993498</v>
      </c>
      <c r="U24" s="14">
        <f t="shared" si="21"/>
        <v>93.81802551999435</v>
      </c>
      <c r="W24" s="549" t="str">
        <f t="shared" si="22"/>
        <v>Max @ Rear</v>
      </c>
      <c r="X24" s="76">
        <f t="shared" si="23"/>
        <v>64.42699343544011</v>
      </c>
      <c r="Y24" s="76">
        <f t="shared" si="24"/>
        <v>76.854937795363682</v>
      </c>
      <c r="Z24" s="2"/>
      <c r="AA24" s="89">
        <f t="shared" si="5"/>
        <v>243.13096253548673</v>
      </c>
      <c r="AB24" s="90">
        <f t="shared" si="25"/>
        <v>-5.591677503251008E-2</v>
      </c>
      <c r="AC24" s="91">
        <f t="shared" si="6"/>
        <v>3.8140000000000001</v>
      </c>
      <c r="AD24" s="92">
        <f t="shared" si="7"/>
        <v>3.70216644993498</v>
      </c>
      <c r="AE24" s="43">
        <f t="shared" si="8"/>
        <v>93.81802551999435</v>
      </c>
      <c r="AF24" s="2"/>
      <c r="AG24" s="89">
        <f t="shared" si="9"/>
        <v>134.06353746451322</v>
      </c>
      <c r="AH24" s="90">
        <f t="shared" si="26"/>
        <v>-5.591677503251008E-2</v>
      </c>
      <c r="AI24" s="91">
        <f t="shared" si="10"/>
        <v>3.8140000000000001</v>
      </c>
      <c r="AJ24" s="92">
        <f t="shared" si="11"/>
        <v>3.70216644993498</v>
      </c>
      <c r="AK24" s="550">
        <f t="shared" si="12"/>
        <v>51.731693273375782</v>
      </c>
      <c r="AL24" s="42"/>
      <c r="AM24" s="521">
        <f t="shared" si="13"/>
        <v>270</v>
      </c>
      <c r="AN24" s="522"/>
      <c r="AO24" s="60">
        <f t="shared" si="44"/>
        <v>98.1</v>
      </c>
      <c r="AP24" s="74">
        <f t="shared" si="44"/>
        <v>0</v>
      </c>
      <c r="AQ24" s="74">
        <f t="shared" si="44"/>
        <v>0</v>
      </c>
      <c r="AR24" s="61">
        <f t="shared" si="44"/>
        <v>0</v>
      </c>
      <c r="AS24" s="62">
        <f t="shared" si="44"/>
        <v>0</v>
      </c>
      <c r="AT24" s="67"/>
      <c r="AU24" s="63">
        <f t="shared" si="14"/>
        <v>279.09449999999998</v>
      </c>
      <c r="AV24" s="64">
        <f t="shared" si="15"/>
        <v>-7.5571177504393683E-2</v>
      </c>
      <c r="AW24" s="64">
        <f t="shared" si="16"/>
        <v>0.64480400497718982</v>
      </c>
      <c r="AX24" s="68">
        <f t="shared" si="28"/>
        <v>-6.6845835853794027</v>
      </c>
      <c r="AY24" s="72">
        <f t="shared" si="29"/>
        <v>0.64921738093186043</v>
      </c>
      <c r="AZ24" s="523"/>
      <c r="BA24" s="65">
        <f t="shared" si="30"/>
        <v>-0.6448040049771897</v>
      </c>
      <c r="BB24" s="66">
        <f t="shared" si="31"/>
        <v>-7.5571177504394113E-2</v>
      </c>
      <c r="BC24" s="61">
        <f t="shared" si="32"/>
        <v>21.091500000000121</v>
      </c>
      <c r="BD24" s="62">
        <f t="shared" si="33"/>
        <v>-179.96125136710626</v>
      </c>
      <c r="BE24" s="67"/>
      <c r="BF24" s="60">
        <f t="shared" si="34"/>
        <v>21.091500000000121</v>
      </c>
      <c r="BG24" s="61">
        <f t="shared" si="35"/>
        <v>-179.96125136710626</v>
      </c>
      <c r="BH24" s="66">
        <f t="shared" si="36"/>
        <v>-0.47710465387779061</v>
      </c>
      <c r="BI24" s="128">
        <f t="shared" si="37"/>
        <v>-5.591677503251008E-2</v>
      </c>
      <c r="BJ24" s="66" t="str">
        <f t="shared" si="17"/>
        <v>no</v>
      </c>
      <c r="BK24" s="2"/>
      <c r="BL24" s="71">
        <f t="shared" si="38"/>
        <v>181.19300032248711</v>
      </c>
      <c r="BM24" s="524">
        <f t="shared" si="39"/>
        <v>83.315416414620557</v>
      </c>
      <c r="BN24" s="120"/>
      <c r="BO24" s="577">
        <f t="shared" si="40"/>
        <v>0.28915433568350946</v>
      </c>
      <c r="BP24" s="578">
        <f t="shared" si="41"/>
        <v>2.9321853713953894E-2</v>
      </c>
      <c r="BR24" s="507" t="str">
        <f t="shared" si="42"/>
        <v>NO-OK</v>
      </c>
      <c r="BS24" s="512" t="str">
        <f t="shared" si="43"/>
        <v>NO-OK</v>
      </c>
    </row>
    <row r="25" spans="1:71" ht="16.5" thickBot="1" x14ac:dyDescent="0.3">
      <c r="A25" s="832"/>
      <c r="B25" s="830"/>
      <c r="C25" s="826"/>
      <c r="D25" s="826"/>
      <c r="E25" s="830"/>
      <c r="F25" s="843"/>
      <c r="G25" s="257"/>
      <c r="H25" s="258"/>
      <c r="I25" s="259"/>
      <c r="J25" s="259"/>
      <c r="K25" s="260"/>
      <c r="L25" s="413">
        <f>+IF('Input Page'!$G$68="YES",Standing!L24+15,0)</f>
        <v>285</v>
      </c>
      <c r="M25" s="9">
        <f t="shared" si="0"/>
        <v>70.640965615401896</v>
      </c>
      <c r="N25" s="9">
        <f t="shared" si="1"/>
        <v>100.93512004628423</v>
      </c>
      <c r="O25" s="9">
        <f t="shared" si="2"/>
        <v>81.046285283491159</v>
      </c>
      <c r="P25" s="9">
        <f t="shared" si="3"/>
        <v>55.787580971552281</v>
      </c>
      <c r="Q25" s="10">
        <f t="shared" si="4"/>
        <v>44.794876160279919</v>
      </c>
      <c r="R25" s="11">
        <f t="shared" si="18"/>
        <v>6.9472313803921493E-2</v>
      </c>
      <c r="S25" s="12">
        <f t="shared" si="19"/>
        <v>3.8140000000000001</v>
      </c>
      <c r="T25" s="13">
        <f t="shared" si="20"/>
        <v>3.6750553723921571</v>
      </c>
      <c r="U25" s="14">
        <f t="shared" si="21"/>
        <v>94.430832953134072</v>
      </c>
      <c r="W25" s="549" t="str">
        <f t="shared" si="22"/>
        <v>Max @ Front</v>
      </c>
      <c r="X25" s="76">
        <f t="shared" si="23"/>
        <v>62.920580721885543</v>
      </c>
      <c r="Y25" s="76">
        <f t="shared" si="24"/>
        <v>78.36135050891825</v>
      </c>
      <c r="Z25" s="2"/>
      <c r="AA25" s="89">
        <f t="shared" si="5"/>
        <v>242.92697797471712</v>
      </c>
      <c r="AB25" s="90">
        <f t="shared" si="25"/>
        <v>6.9472313803921493E-2</v>
      </c>
      <c r="AC25" s="91">
        <f t="shared" si="6"/>
        <v>3.8140000000000001</v>
      </c>
      <c r="AD25" s="92">
        <f t="shared" si="7"/>
        <v>3.6750553723921571</v>
      </c>
      <c r="AE25" s="43">
        <f t="shared" si="8"/>
        <v>94.430832953134072</v>
      </c>
      <c r="AF25" s="2"/>
      <c r="AG25" s="89">
        <f t="shared" si="9"/>
        <v>134.26752202528283</v>
      </c>
      <c r="AH25" s="90">
        <f t="shared" si="26"/>
        <v>6.9472313803921493E-2</v>
      </c>
      <c r="AI25" s="91">
        <f t="shared" si="10"/>
        <v>3.8140000000000001</v>
      </c>
      <c r="AJ25" s="92">
        <f t="shared" si="11"/>
        <v>3.6750553723921571</v>
      </c>
      <c r="AK25" s="550">
        <f t="shared" si="12"/>
        <v>52.19261380150337</v>
      </c>
      <c r="AL25" s="42"/>
      <c r="AM25" s="525">
        <f t="shared" si="13"/>
        <v>285</v>
      </c>
      <c r="AN25" s="526"/>
      <c r="AO25" s="54">
        <f t="shared" si="44"/>
        <v>98.1</v>
      </c>
      <c r="AP25" s="75">
        <f t="shared" si="44"/>
        <v>0</v>
      </c>
      <c r="AQ25" s="75">
        <f t="shared" si="44"/>
        <v>0</v>
      </c>
      <c r="AR25" s="53">
        <f t="shared" si="44"/>
        <v>0</v>
      </c>
      <c r="AS25" s="55">
        <f t="shared" si="44"/>
        <v>0</v>
      </c>
      <c r="AT25" s="2"/>
      <c r="AU25" s="51">
        <f t="shared" si="14"/>
        <v>279.09449999999998</v>
      </c>
      <c r="AV25" s="50">
        <f t="shared" si="15"/>
        <v>-7.5571177504393683E-2</v>
      </c>
      <c r="AW25" s="50">
        <f t="shared" si="16"/>
        <v>0.64480400497718982</v>
      </c>
      <c r="AX25" s="69">
        <f t="shared" si="28"/>
        <v>-6.6845835853794027</v>
      </c>
      <c r="AY25" s="73">
        <f t="shared" si="29"/>
        <v>0.64921738093186043</v>
      </c>
      <c r="AZ25" s="527"/>
      <c r="BA25" s="58">
        <f t="shared" si="30"/>
        <v>-0.64239210130105284</v>
      </c>
      <c r="BB25" s="57">
        <f t="shared" si="31"/>
        <v>9.3891404771907938E-2</v>
      </c>
      <c r="BC25" s="53">
        <f t="shared" si="32"/>
        <v>-26.20457466911326</v>
      </c>
      <c r="BD25" s="55">
        <f t="shared" si="33"/>
        <v>-179.28810231656669</v>
      </c>
      <c r="BE25" s="2"/>
      <c r="BF25" s="54">
        <f t="shared" si="34"/>
        <v>-26.20457466911326</v>
      </c>
      <c r="BG25" s="53">
        <f t="shared" si="35"/>
        <v>-179.28810231656669</v>
      </c>
      <c r="BH25" s="57">
        <f t="shared" si="36"/>
        <v>-0.47532003334239159</v>
      </c>
      <c r="BI25" s="129">
        <f t="shared" si="37"/>
        <v>6.9472313803921493E-2</v>
      </c>
      <c r="BJ25" s="66" t="str">
        <f t="shared" si="17"/>
        <v>no</v>
      </c>
      <c r="BK25" s="2"/>
      <c r="BL25" s="70">
        <f t="shared" si="38"/>
        <v>181.19300032248714</v>
      </c>
      <c r="BM25" s="528">
        <f t="shared" si="39"/>
        <v>-81.684583585379414</v>
      </c>
      <c r="BN25" s="121"/>
      <c r="BO25" s="577">
        <f t="shared" si="40"/>
        <v>0.28807274748023737</v>
      </c>
      <c r="BP25" s="578">
        <f t="shared" si="41"/>
        <v>3.6430159309869689E-2</v>
      </c>
      <c r="BR25" s="507" t="str">
        <f t="shared" si="42"/>
        <v>NO-OK</v>
      </c>
      <c r="BS25" s="512" t="str">
        <f t="shared" si="43"/>
        <v>NO-OK</v>
      </c>
    </row>
    <row r="26" spans="1:71" ht="16.5" thickBot="1" x14ac:dyDescent="0.3">
      <c r="A26" s="261" t="s">
        <v>94</v>
      </c>
      <c r="B26" s="262">
        <f>+SUM(B4:B8)+B19</f>
        <v>377.19449999999995</v>
      </c>
      <c r="C26" s="263"/>
      <c r="D26" s="264"/>
      <c r="E26" s="264"/>
      <c r="F26" s="264"/>
      <c r="G26" s="840" t="s">
        <v>1</v>
      </c>
      <c r="H26" s="841"/>
      <c r="I26" s="914">
        <f>+'Input Page'!C68</f>
        <v>3.8140000000000001</v>
      </c>
      <c r="J26" s="915"/>
      <c r="K26" s="260"/>
      <c r="L26" s="413">
        <f>+IF('Input Page'!$G$68="YES",Standing!L25+15,0)</f>
        <v>300</v>
      </c>
      <c r="M26" s="9">
        <f t="shared" si="0"/>
        <v>70.640965615401896</v>
      </c>
      <c r="N26" s="9">
        <f t="shared" si="1"/>
        <v>116.30504203880389</v>
      </c>
      <c r="O26" s="9">
        <f t="shared" si="2"/>
        <v>62.749952520032892</v>
      </c>
      <c r="P26" s="9">
        <f t="shared" si="3"/>
        <v>67.234110182081054</v>
      </c>
      <c r="Q26" s="10">
        <f t="shared" si="4"/>
        <v>36.274757720689742</v>
      </c>
      <c r="R26" s="11">
        <f t="shared" si="18"/>
        <v>0.19012697926304226</v>
      </c>
      <c r="S26" s="12">
        <f t="shared" si="19"/>
        <v>3.8140000000000001</v>
      </c>
      <c r="T26" s="13">
        <f t="shared" si="20"/>
        <v>3.4337460414739156</v>
      </c>
      <c r="U26" s="14">
        <f t="shared" si="21"/>
        <v>99.44179636451301</v>
      </c>
      <c r="W26" s="549" t="str">
        <f t="shared" si="22"/>
        <v>Max @ Front</v>
      </c>
      <c r="X26" s="76">
        <f t="shared" si="23"/>
        <v>49.51235512036132</v>
      </c>
      <c r="Y26" s="76">
        <f t="shared" si="24"/>
        <v>91.769576110442472</v>
      </c>
      <c r="Z26" s="2"/>
      <c r="AA26" s="89">
        <f t="shared" si="5"/>
        <v>239.02051223659123</v>
      </c>
      <c r="AB26" s="90">
        <f t="shared" si="25"/>
        <v>0.19012697926304226</v>
      </c>
      <c r="AC26" s="91">
        <f t="shared" si="6"/>
        <v>3.8140000000000001</v>
      </c>
      <c r="AD26" s="92">
        <f t="shared" si="7"/>
        <v>3.4337460414739156</v>
      </c>
      <c r="AE26" s="43">
        <f t="shared" si="8"/>
        <v>99.44179636451301</v>
      </c>
      <c r="AF26" s="2"/>
      <c r="AG26" s="89">
        <f t="shared" si="9"/>
        <v>138.17398776340872</v>
      </c>
      <c r="AH26" s="90">
        <f t="shared" si="26"/>
        <v>0.19012697926304226</v>
      </c>
      <c r="AI26" s="91">
        <f t="shared" si="10"/>
        <v>3.8140000000000001</v>
      </c>
      <c r="AJ26" s="92">
        <f t="shared" si="11"/>
        <v>3.4337460414739156</v>
      </c>
      <c r="AK26" s="550">
        <f t="shared" si="12"/>
        <v>57.485733862209216</v>
      </c>
      <c r="AL26" s="42"/>
      <c r="AM26" s="525">
        <f t="shared" si="13"/>
        <v>300</v>
      </c>
      <c r="AN26" s="526"/>
      <c r="AO26" s="54">
        <f t="shared" si="44"/>
        <v>98.1</v>
      </c>
      <c r="AP26" s="75">
        <f t="shared" si="44"/>
        <v>0</v>
      </c>
      <c r="AQ26" s="75">
        <f t="shared" si="44"/>
        <v>0</v>
      </c>
      <c r="AR26" s="53">
        <f t="shared" si="44"/>
        <v>0</v>
      </c>
      <c r="AS26" s="55">
        <f t="shared" si="44"/>
        <v>0</v>
      </c>
      <c r="AT26" s="2"/>
      <c r="AU26" s="51">
        <f t="shared" si="14"/>
        <v>279.09449999999998</v>
      </c>
      <c r="AV26" s="50">
        <f t="shared" si="15"/>
        <v>-7.5571177504393683E-2</v>
      </c>
      <c r="AW26" s="50">
        <f t="shared" si="16"/>
        <v>0.64480400497718982</v>
      </c>
      <c r="AX26" s="69">
        <f t="shared" si="28"/>
        <v>-6.6845835853794027</v>
      </c>
      <c r="AY26" s="73">
        <f t="shared" si="29"/>
        <v>0.64921738093186043</v>
      </c>
      <c r="AZ26" s="527"/>
      <c r="BA26" s="58">
        <f t="shared" si="30"/>
        <v>-0.59620223752439094</v>
      </c>
      <c r="BB26" s="57">
        <f t="shared" si="31"/>
        <v>0.25695544297588663</v>
      </c>
      <c r="BC26" s="53">
        <f t="shared" si="32"/>
        <v>-71.714850879633588</v>
      </c>
      <c r="BD26" s="55">
        <f t="shared" si="33"/>
        <v>-166.39676538075111</v>
      </c>
      <c r="BE26" s="2"/>
      <c r="BF26" s="54">
        <f t="shared" si="34"/>
        <v>-71.714850879633588</v>
      </c>
      <c r="BG26" s="53">
        <f t="shared" si="35"/>
        <v>-166.39676538075111</v>
      </c>
      <c r="BH26" s="57">
        <f t="shared" si="36"/>
        <v>-0.44114313803820343</v>
      </c>
      <c r="BI26" s="129">
        <f t="shared" si="37"/>
        <v>0.19012697926304226</v>
      </c>
      <c r="BJ26" s="66" t="str">
        <f t="shared" si="17"/>
        <v>no</v>
      </c>
      <c r="BK26" s="2"/>
      <c r="BL26" s="70">
        <f t="shared" si="38"/>
        <v>181.19300032248711</v>
      </c>
      <c r="BM26" s="528">
        <f t="shared" si="39"/>
        <v>-66.684583585379428</v>
      </c>
      <c r="BN26" s="121"/>
      <c r="BO26" s="577">
        <f t="shared" si="40"/>
        <v>0.26735947759891121</v>
      </c>
      <c r="BP26" s="578">
        <f t="shared" si="41"/>
        <v>9.9699517180410202E-2</v>
      </c>
      <c r="BR26" s="507" t="str">
        <f t="shared" si="42"/>
        <v>NO-OK</v>
      </c>
      <c r="BS26" s="512" t="str">
        <f t="shared" si="43"/>
        <v>NO-OK</v>
      </c>
    </row>
    <row r="27" spans="1:71" ht="15.75" x14ac:dyDescent="0.25">
      <c r="A27" s="821" t="s">
        <v>110</v>
      </c>
      <c r="B27" s="823">
        <f>+B16+B24</f>
        <v>377.19449999999995</v>
      </c>
      <c r="C27" s="825">
        <f>+F27/B27</f>
        <v>-5.5916775032509761E-2</v>
      </c>
      <c r="D27" s="827">
        <f>+E27/B27*-1</f>
        <v>0.47710465387779066</v>
      </c>
      <c r="E27" s="829">
        <f>+E16+E24</f>
        <v>-179.96125136710629</v>
      </c>
      <c r="F27" s="819">
        <f>+F16+F24</f>
        <v>-21.0915</v>
      </c>
      <c r="G27" s="856" t="s">
        <v>2</v>
      </c>
      <c r="H27" s="857"/>
      <c r="I27" s="852">
        <f>+'Input Page'!C69</f>
        <v>0.7</v>
      </c>
      <c r="J27" s="853"/>
      <c r="K27" s="260"/>
      <c r="L27" s="413">
        <f>+IF('Input Page'!$G$68="YES",Standing!L26+15,0)</f>
        <v>315</v>
      </c>
      <c r="M27" s="9">
        <f t="shared" si="0"/>
        <v>70.640965615401896</v>
      </c>
      <c r="N27" s="9">
        <f t="shared" si="1"/>
        <v>127.43437084710519</v>
      </c>
      <c r="O27" s="9">
        <f t="shared" si="2"/>
        <v>46.120041097926169</v>
      </c>
      <c r="P27" s="9">
        <f t="shared" si="3"/>
        <v>80.041472799713716</v>
      </c>
      <c r="Q27" s="10">
        <f t="shared" si="4"/>
        <v>28.96797771686251</v>
      </c>
      <c r="R27" s="11">
        <f t="shared" si="18"/>
        <v>0.29782480528507582</v>
      </c>
      <c r="S27" s="12">
        <f t="shared" si="19"/>
        <v>3.8140000000000001</v>
      </c>
      <c r="T27" s="13">
        <f t="shared" si="20"/>
        <v>3.2183503894298484</v>
      </c>
      <c r="U27" s="14">
        <f t="shared" si="21"/>
        <v>102.83785900571505</v>
      </c>
      <c r="W27" s="549" t="str">
        <f t="shared" si="22"/>
        <v>Max @ Front</v>
      </c>
      <c r="X27" s="76">
        <f t="shared" si="23"/>
        <v>37.544009407394341</v>
      </c>
      <c r="Y27" s="76">
        <f t="shared" si="24"/>
        <v>103.73792182340945</v>
      </c>
      <c r="Z27" s="2"/>
      <c r="AA27" s="89">
        <f t="shared" si="5"/>
        <v>231.67778450542235</v>
      </c>
      <c r="AB27" s="90">
        <f t="shared" si="25"/>
        <v>0.29782480528507582</v>
      </c>
      <c r="AC27" s="91">
        <f t="shared" si="6"/>
        <v>3.8140000000000001</v>
      </c>
      <c r="AD27" s="92">
        <f t="shared" si="7"/>
        <v>3.2183503894298484</v>
      </c>
      <c r="AE27" s="43">
        <f t="shared" si="8"/>
        <v>102.83785900571505</v>
      </c>
      <c r="AF27" s="2"/>
      <c r="AG27" s="89">
        <f t="shared" si="9"/>
        <v>145.5167154945776</v>
      </c>
      <c r="AH27" s="90">
        <f t="shared" si="26"/>
        <v>0.29782480528507582</v>
      </c>
      <c r="AI27" s="91">
        <f t="shared" si="10"/>
        <v>3.8140000000000001</v>
      </c>
      <c r="AJ27" s="92">
        <f t="shared" si="11"/>
        <v>3.2183503894298484</v>
      </c>
      <c r="AK27" s="550">
        <f t="shared" si="12"/>
        <v>64.592414430033003</v>
      </c>
      <c r="AL27" s="42"/>
      <c r="AM27" s="525">
        <f t="shared" si="13"/>
        <v>315</v>
      </c>
      <c r="AN27" s="526"/>
      <c r="AO27" s="54">
        <f t="shared" si="44"/>
        <v>98.1</v>
      </c>
      <c r="AP27" s="75">
        <f t="shared" si="44"/>
        <v>0</v>
      </c>
      <c r="AQ27" s="75">
        <f t="shared" si="44"/>
        <v>0</v>
      </c>
      <c r="AR27" s="53">
        <f t="shared" si="44"/>
        <v>0</v>
      </c>
      <c r="AS27" s="55">
        <f t="shared" si="44"/>
        <v>0</v>
      </c>
      <c r="AT27" s="2"/>
      <c r="AU27" s="51">
        <f t="shared" si="14"/>
        <v>279.09449999999998</v>
      </c>
      <c r="AV27" s="50">
        <f t="shared" si="15"/>
        <v>-7.5571177504393683E-2</v>
      </c>
      <c r="AW27" s="50">
        <f t="shared" si="16"/>
        <v>0.64480400497718982</v>
      </c>
      <c r="AX27" s="69">
        <f t="shared" si="28"/>
        <v>-6.6845835853794027</v>
      </c>
      <c r="AY27" s="73">
        <f t="shared" si="29"/>
        <v>0.64921738093186043</v>
      </c>
      <c r="AZ27" s="527"/>
      <c r="BA27" s="58">
        <f t="shared" si="30"/>
        <v>-0.50938217653122453</v>
      </c>
      <c r="BB27" s="57">
        <f t="shared" si="31"/>
        <v>0.4025083923800058</v>
      </c>
      <c r="BC27" s="53">
        <f t="shared" si="32"/>
        <v>-112.33787851710152</v>
      </c>
      <c r="BD27" s="55">
        <f t="shared" si="33"/>
        <v>-142.16576386789384</v>
      </c>
      <c r="BE27" s="2"/>
      <c r="BF27" s="54">
        <f t="shared" si="34"/>
        <v>-112.33787851710152</v>
      </c>
      <c r="BG27" s="53">
        <f t="shared" si="35"/>
        <v>-142.16576386789384</v>
      </c>
      <c r="BH27" s="57">
        <f t="shared" si="36"/>
        <v>-0.37690306690021691</v>
      </c>
      <c r="BI27" s="129">
        <f t="shared" si="37"/>
        <v>0.29782480528507582</v>
      </c>
      <c r="BJ27" s="66" t="str">
        <f t="shared" si="17"/>
        <v>no</v>
      </c>
      <c r="BK27" s="2"/>
      <c r="BL27" s="70">
        <f t="shared" si="38"/>
        <v>181.19300032248711</v>
      </c>
      <c r="BM27" s="528">
        <f t="shared" si="39"/>
        <v>-51.68458358537945</v>
      </c>
      <c r="BN27" s="121"/>
      <c r="BO27" s="577">
        <f t="shared" si="40"/>
        <v>0.22842610115164663</v>
      </c>
      <c r="BP27" s="578">
        <f t="shared" si="41"/>
        <v>0.1561745177163481</v>
      </c>
      <c r="BR27" s="507" t="str">
        <f t="shared" si="42"/>
        <v>NO-OK</v>
      </c>
      <c r="BS27" s="512" t="str">
        <f t="shared" si="43"/>
        <v>NO-OK</v>
      </c>
    </row>
    <row r="28" spans="1:71" ht="16.5" thickBot="1" x14ac:dyDescent="0.3">
      <c r="A28" s="822"/>
      <c r="B28" s="824"/>
      <c r="C28" s="826"/>
      <c r="D28" s="828"/>
      <c r="E28" s="830"/>
      <c r="F28" s="820"/>
      <c r="G28" s="919" t="s">
        <v>95</v>
      </c>
      <c r="H28" s="920"/>
      <c r="I28" s="854">
        <f>+'Input Page'!C70</f>
        <v>3.3</v>
      </c>
      <c r="J28" s="855"/>
      <c r="K28" s="154"/>
      <c r="L28" s="413">
        <f>+IF('Input Page'!$G$68="YES",Standing!L27+15,0)</f>
        <v>330</v>
      </c>
      <c r="M28" s="9">
        <f t="shared" si="0"/>
        <v>70.640965615401896</v>
      </c>
      <c r="N28" s="9">
        <f t="shared" si="1"/>
        <v>133.18278686437634</v>
      </c>
      <c r="O28" s="9">
        <f t="shared" si="2"/>
        <v>32.671726238971004</v>
      </c>
      <c r="P28" s="9">
        <f t="shared" si="3"/>
        <v>93.718742467837643</v>
      </c>
      <c r="Q28" s="10">
        <f t="shared" si="4"/>
        <v>22.990606890422612</v>
      </c>
      <c r="R28" s="11">
        <f t="shared" si="18"/>
        <v>0.38522636300569363</v>
      </c>
      <c r="S28" s="12">
        <f t="shared" si="19"/>
        <v>3.8140000000000001</v>
      </c>
      <c r="T28" s="13">
        <f t="shared" si="20"/>
        <v>3.0435472739886129</v>
      </c>
      <c r="U28" s="14">
        <f t="shared" si="21"/>
        <v>103.91971210408961</v>
      </c>
      <c r="W28" s="549" t="str">
        <f t="shared" si="22"/>
        <v>Max @ Front</v>
      </c>
      <c r="X28" s="76">
        <f t="shared" si="23"/>
        <v>27.831166564696808</v>
      </c>
      <c r="Y28" s="76">
        <f t="shared" si="24"/>
        <v>113.45076466610699</v>
      </c>
      <c r="Z28" s="2"/>
      <c r="AA28" s="89">
        <f t="shared" si="5"/>
        <v>221.39918954165836</v>
      </c>
      <c r="AB28" s="90">
        <f t="shared" si="25"/>
        <v>0.38522636300569363</v>
      </c>
      <c r="AC28" s="91">
        <f t="shared" si="6"/>
        <v>3.8140000000000001</v>
      </c>
      <c r="AD28" s="92">
        <f t="shared" si="7"/>
        <v>3.0435472739886129</v>
      </c>
      <c r="AE28" s="43">
        <f t="shared" si="8"/>
        <v>103.91971210408961</v>
      </c>
      <c r="AF28" s="2"/>
      <c r="AG28" s="89">
        <f t="shared" si="9"/>
        <v>155.79531045834159</v>
      </c>
      <c r="AH28" s="90">
        <f t="shared" si="26"/>
        <v>0.38522636300569363</v>
      </c>
      <c r="AI28" s="91">
        <f t="shared" si="10"/>
        <v>3.8140000000000001</v>
      </c>
      <c r="AJ28" s="92">
        <f t="shared" si="11"/>
        <v>3.0435472739886129</v>
      </c>
      <c r="AK28" s="550">
        <f t="shared" si="12"/>
        <v>73.126752828296958</v>
      </c>
      <c r="AL28" s="42"/>
      <c r="AM28" s="525">
        <f t="shared" si="13"/>
        <v>330</v>
      </c>
      <c r="AN28" s="526"/>
      <c r="AO28" s="54">
        <f t="shared" si="44"/>
        <v>98.1</v>
      </c>
      <c r="AP28" s="75">
        <f t="shared" si="44"/>
        <v>0</v>
      </c>
      <c r="AQ28" s="75">
        <f t="shared" si="44"/>
        <v>0</v>
      </c>
      <c r="AR28" s="53">
        <f t="shared" si="44"/>
        <v>0</v>
      </c>
      <c r="AS28" s="55">
        <f t="shared" si="44"/>
        <v>0</v>
      </c>
      <c r="AT28" s="2"/>
      <c r="AU28" s="51">
        <f t="shared" si="14"/>
        <v>279.09449999999998</v>
      </c>
      <c r="AV28" s="50">
        <f t="shared" si="15"/>
        <v>-7.5571177504393683E-2</v>
      </c>
      <c r="AW28" s="50">
        <f t="shared" si="16"/>
        <v>0.64480400497718982</v>
      </c>
      <c r="AX28" s="69">
        <f t="shared" si="28"/>
        <v>-6.6845835853794027</v>
      </c>
      <c r="AY28" s="73">
        <f t="shared" si="29"/>
        <v>0.64921738093186043</v>
      </c>
      <c r="AZ28" s="527"/>
      <c r="BA28" s="58">
        <f t="shared" si="30"/>
        <v>-0.38784856200130297</v>
      </c>
      <c r="BB28" s="57">
        <f t="shared" si="31"/>
        <v>0.52063106001999715</v>
      </c>
      <c r="BC28" s="53">
        <f t="shared" si="32"/>
        <v>-145.30526538075108</v>
      </c>
      <c r="BD28" s="55">
        <f t="shared" si="33"/>
        <v>-108.24640048747264</v>
      </c>
      <c r="BE28" s="2"/>
      <c r="BF28" s="54">
        <f t="shared" si="34"/>
        <v>-145.30526538075108</v>
      </c>
      <c r="BG28" s="53">
        <f t="shared" si="35"/>
        <v>-108.24640048747264</v>
      </c>
      <c r="BH28" s="57">
        <f t="shared" si="36"/>
        <v>-0.28697767461474827</v>
      </c>
      <c r="BI28" s="129">
        <f t="shared" si="37"/>
        <v>0.38522636300569363</v>
      </c>
      <c r="BJ28" s="66" t="str">
        <f t="shared" si="17"/>
        <v>no</v>
      </c>
      <c r="BK28" s="2"/>
      <c r="BL28" s="70">
        <f t="shared" si="38"/>
        <v>181.19300032248711</v>
      </c>
      <c r="BM28" s="528">
        <f t="shared" si="39"/>
        <v>-36.684583585379407</v>
      </c>
      <c r="BN28" s="121"/>
      <c r="BO28" s="577">
        <f t="shared" si="40"/>
        <v>0.17392586340287775</v>
      </c>
      <c r="BP28" s="578">
        <f t="shared" si="41"/>
        <v>0.20200648296051055</v>
      </c>
      <c r="BR28" s="507" t="str">
        <f t="shared" si="42"/>
        <v>NO-OK</v>
      </c>
      <c r="BS28" s="512" t="str">
        <f t="shared" si="43"/>
        <v>NO-OK</v>
      </c>
    </row>
    <row r="29" spans="1:71" ht="15.75" customHeight="1" thickBot="1" x14ac:dyDescent="0.3">
      <c r="A29" s="265"/>
      <c r="B29" s="266"/>
      <c r="C29" s="267"/>
      <c r="D29" s="268"/>
      <c r="E29" s="269"/>
      <c r="F29" s="266"/>
      <c r="G29" s="182"/>
      <c r="H29" s="270"/>
      <c r="I29" s="271"/>
      <c r="J29" s="271"/>
      <c r="K29" s="272"/>
      <c r="L29" s="413">
        <f>+IF('Input Page'!$G$68="YES",Standing!L28+15,0)</f>
        <v>345</v>
      </c>
      <c r="M29" s="134">
        <f t="shared" si="0"/>
        <v>70.640965615401896</v>
      </c>
      <c r="N29" s="134">
        <f t="shared" si="1"/>
        <v>133.18141772091727</v>
      </c>
      <c r="O29" s="134">
        <f t="shared" si="2"/>
        <v>23.2986156942438</v>
      </c>
      <c r="P29" s="134">
        <f t="shared" si="3"/>
        <v>107.31096317915643</v>
      </c>
      <c r="Q29" s="135">
        <f t="shared" si="4"/>
        <v>18.772865867290097</v>
      </c>
      <c r="R29" s="136">
        <f t="shared" si="18"/>
        <v>0.44637538070413812</v>
      </c>
      <c r="S29" s="137">
        <f t="shared" si="19"/>
        <v>3.8140000000000001</v>
      </c>
      <c r="T29" s="132">
        <f t="shared" si="20"/>
        <v>2.9212492385917237</v>
      </c>
      <c r="U29" s="133">
        <f t="shared" si="21"/>
        <v>102.15062096740793</v>
      </c>
      <c r="W29" s="549" t="str">
        <f t="shared" si="22"/>
        <v>Max @ Front</v>
      </c>
      <c r="X29" s="76">
        <f t="shared" si="23"/>
        <v>21.035740780766947</v>
      </c>
      <c r="Y29" s="76">
        <f t="shared" si="24"/>
        <v>120.24619045003685</v>
      </c>
      <c r="Z29" s="2"/>
      <c r="AA29" s="89">
        <f t="shared" si="5"/>
        <v>208.8851966058985</v>
      </c>
      <c r="AB29" s="90">
        <f t="shared" si="25"/>
        <v>0.44637538070413812</v>
      </c>
      <c r="AC29" s="91">
        <f t="shared" si="6"/>
        <v>3.8140000000000001</v>
      </c>
      <c r="AD29" s="92">
        <f t="shared" si="7"/>
        <v>2.9212492385917237</v>
      </c>
      <c r="AE29" s="43">
        <f t="shared" si="8"/>
        <v>102.15062096740793</v>
      </c>
      <c r="AF29" s="2"/>
      <c r="AG29" s="89">
        <f t="shared" si="9"/>
        <v>168.30930339410145</v>
      </c>
      <c r="AH29" s="90">
        <f t="shared" si="26"/>
        <v>0.44637538070413812</v>
      </c>
      <c r="AI29" s="91">
        <f t="shared" si="10"/>
        <v>3.8140000000000001</v>
      </c>
      <c r="AJ29" s="92">
        <f t="shared" si="11"/>
        <v>2.9212492385917237</v>
      </c>
      <c r="AK29" s="550">
        <f t="shared" si="12"/>
        <v>82.307890341970889</v>
      </c>
      <c r="AL29" s="42"/>
      <c r="AM29" s="525">
        <f t="shared" si="13"/>
        <v>345</v>
      </c>
      <c r="AN29" s="526"/>
      <c r="AO29" s="54">
        <f t="shared" si="44"/>
        <v>98.1</v>
      </c>
      <c r="AP29" s="75">
        <f t="shared" si="44"/>
        <v>0</v>
      </c>
      <c r="AQ29" s="75">
        <f t="shared" si="44"/>
        <v>0</v>
      </c>
      <c r="AR29" s="53">
        <f t="shared" si="44"/>
        <v>0</v>
      </c>
      <c r="AS29" s="55">
        <f t="shared" si="44"/>
        <v>0</v>
      </c>
      <c r="AT29" s="2"/>
      <c r="AU29" s="51">
        <f t="shared" si="14"/>
        <v>279.09449999999998</v>
      </c>
      <c r="AV29" s="50">
        <f t="shared" si="15"/>
        <v>-7.5571177504393683E-2</v>
      </c>
      <c r="AW29" s="50">
        <f t="shared" si="16"/>
        <v>0.64480400497718982</v>
      </c>
      <c r="AX29" s="69">
        <f t="shared" si="28"/>
        <v>-6.6845835853794027</v>
      </c>
      <c r="AY29" s="73">
        <f t="shared" si="29"/>
        <v>0.64921738093186043</v>
      </c>
      <c r="AZ29" s="527"/>
      <c r="BA29" s="58">
        <f t="shared" si="30"/>
        <v>-0.23988370892104688</v>
      </c>
      <c r="BB29" s="57">
        <f t="shared" si="31"/>
        <v>0.60327358130313213</v>
      </c>
      <c r="BC29" s="53">
        <f t="shared" si="32"/>
        <v>-168.370338537007</v>
      </c>
      <c r="BD29" s="55">
        <f t="shared" si="33"/>
        <v>-66.950223799465107</v>
      </c>
      <c r="BE29" s="2"/>
      <c r="BF29" s="54">
        <f t="shared" si="34"/>
        <v>-168.370338537007</v>
      </c>
      <c r="BG29" s="53">
        <f t="shared" si="35"/>
        <v>-66.950223799465107</v>
      </c>
      <c r="BH29" s="57">
        <f t="shared" si="36"/>
        <v>-0.17749522805731557</v>
      </c>
      <c r="BI29" s="129">
        <f t="shared" si="37"/>
        <v>0.44637538070413812</v>
      </c>
      <c r="BJ29" s="66" t="str">
        <f t="shared" si="17"/>
        <v>no</v>
      </c>
      <c r="BK29" s="2"/>
      <c r="BL29" s="70">
        <f t="shared" si="38"/>
        <v>181.19300032248711</v>
      </c>
      <c r="BM29" s="528">
        <f t="shared" si="39"/>
        <v>-21.684583585379428</v>
      </c>
      <c r="BN29" s="121"/>
      <c r="BO29" s="577">
        <f t="shared" si="40"/>
        <v>0.10757286548928217</v>
      </c>
      <c r="BP29" s="578">
        <f t="shared" si="41"/>
        <v>0.23407204022241118</v>
      </c>
      <c r="BR29" s="507" t="str">
        <f t="shared" si="42"/>
        <v>NO-OK</v>
      </c>
      <c r="BS29" s="512" t="str">
        <f t="shared" si="43"/>
        <v>NO-OK</v>
      </c>
    </row>
    <row r="30" spans="1:71" ht="15.75" customHeight="1" thickBot="1" x14ac:dyDescent="0.25">
      <c r="A30" s="265"/>
      <c r="B30" s="266"/>
      <c r="C30" s="267"/>
      <c r="D30" s="268"/>
      <c r="E30" s="269"/>
      <c r="F30" s="266"/>
      <c r="G30" s="182"/>
      <c r="H30" s="270"/>
      <c r="I30" s="271"/>
      <c r="J30" s="271"/>
      <c r="K30" s="272"/>
      <c r="L30" s="109"/>
      <c r="M30" s="105"/>
      <c r="N30" s="105"/>
      <c r="O30" s="105"/>
      <c r="P30" s="105"/>
      <c r="Q30" s="105"/>
      <c r="R30" s="917" t="s">
        <v>168</v>
      </c>
      <c r="S30" s="918"/>
      <c r="T30" s="150">
        <f>+INDEX(T6:T29,MATCH(U30,U6:U29,0))</f>
        <v>3.0601938661995667</v>
      </c>
      <c r="U30" s="151">
        <f>MAX(U6:U29)</f>
        <v>103.93320587015738</v>
      </c>
      <c r="W30" s="551"/>
      <c r="X30" s="552">
        <f t="shared" si="23"/>
        <v>17.620829092807409</v>
      </c>
      <c r="Y30" s="552">
        <f t="shared" si="24"/>
        <v>123.66110213799639</v>
      </c>
      <c r="Z30" s="544"/>
      <c r="AA30" s="553">
        <f t="shared" si="5"/>
        <v>194.98861363636362</v>
      </c>
      <c r="AB30" s="554">
        <f t="shared" ref="AB30" si="52">+BI30</f>
        <v>0.47710465387779061</v>
      </c>
      <c r="AC30" s="555" t="e">
        <f t="shared" ref="AC30" si="53">+IF(O30&gt;0,$I$26,AA30/(N30*$I$27*0.5))</f>
        <v>#DIV/0!</v>
      </c>
      <c r="AD30" s="556">
        <f t="shared" ref="AD30" si="54">+($I$26/2-ABS(AB30))*2</f>
        <v>2.859790692244419</v>
      </c>
      <c r="AE30" s="557">
        <f t="shared" ref="AE30" si="55">+IF(O30&gt;0,((O30*$I$26)+((N30-O30)*$I$26/2))/AD30,3*N30/4)</f>
        <v>0</v>
      </c>
      <c r="AF30" s="544"/>
      <c r="AG30" s="553">
        <f t="shared" ref="AG30" si="56">+$B$27-AA30</f>
        <v>182.20588636363632</v>
      </c>
      <c r="AH30" s="554">
        <f t="shared" ref="AH30" si="57">+BI30</f>
        <v>0.47710465387779061</v>
      </c>
      <c r="AI30" s="555" t="e">
        <f t="shared" ref="AI30" si="58">+IF(O30&gt;0,$I$26,AA30/(N30*$I$27*0.5))</f>
        <v>#DIV/0!</v>
      </c>
      <c r="AJ30" s="556">
        <f t="shared" ref="AJ30" si="59">+($I$26/2-ABS(AH30))*2</f>
        <v>2.859790692244419</v>
      </c>
      <c r="AK30" s="558">
        <f t="shared" ref="AK30" si="60">+IF(Q30&gt;0,((Q30*$I$26)+((P30-Q30)*$I$26/2))/AJ30,3*P30/4)</f>
        <v>0</v>
      </c>
      <c r="AL30" s="42"/>
      <c r="AM30" s="529">
        <f>+AM29+15</f>
        <v>360</v>
      </c>
      <c r="AN30" s="530"/>
      <c r="AO30" s="531">
        <f t="shared" si="44"/>
        <v>98.1</v>
      </c>
      <c r="AP30" s="532">
        <f t="shared" si="44"/>
        <v>0</v>
      </c>
      <c r="AQ30" s="532">
        <f t="shared" si="44"/>
        <v>0</v>
      </c>
      <c r="AR30" s="533">
        <f t="shared" si="44"/>
        <v>0</v>
      </c>
      <c r="AS30" s="534">
        <f t="shared" si="44"/>
        <v>0</v>
      </c>
      <c r="AT30" s="535"/>
      <c r="AU30" s="536">
        <f t="shared" si="14"/>
        <v>279.09449999999998</v>
      </c>
      <c r="AV30" s="537">
        <f t="shared" si="15"/>
        <v>-7.5571177504393683E-2</v>
      </c>
      <c r="AW30" s="537">
        <f t="shared" si="16"/>
        <v>0.64480400497718982</v>
      </c>
      <c r="AX30" s="538">
        <f t="shared" ref="AX30" si="61">+DEGREES(ATAN(AV30/AW30))</f>
        <v>-6.6845835853794027</v>
      </c>
      <c r="AY30" s="539">
        <f t="shared" ref="AY30" si="62">+(AV30^2+AW30^2)^0.5</f>
        <v>0.64921738093186043</v>
      </c>
      <c r="AZ30" s="540"/>
      <c r="BA30" s="541">
        <f t="shared" ref="BA30" si="63">+AY30*(SIN(RADIANS(AX30+AM30)))</f>
        <v>-7.5571177504394169E-2</v>
      </c>
      <c r="BB30" s="542">
        <f t="shared" ref="BB30" si="64">+AY30*(COS(RADIANS(AX30+AM30)))</f>
        <v>0.6448040049771897</v>
      </c>
      <c r="BC30" s="533">
        <f t="shared" si="32"/>
        <v>-179.96125136710626</v>
      </c>
      <c r="BD30" s="534">
        <f t="shared" si="33"/>
        <v>-21.091500000000138</v>
      </c>
      <c r="BE30" s="535"/>
      <c r="BF30" s="531">
        <f t="shared" si="34"/>
        <v>-179.96125136710626</v>
      </c>
      <c r="BG30" s="533">
        <f t="shared" si="35"/>
        <v>-21.091500000000138</v>
      </c>
      <c r="BH30" s="542">
        <f t="shared" si="36"/>
        <v>-5.5916775032510128E-2</v>
      </c>
      <c r="BI30" s="543">
        <f t="shared" si="37"/>
        <v>0.47710465387779061</v>
      </c>
      <c r="BJ30" s="542" t="str">
        <f t="shared" si="17"/>
        <v>no</v>
      </c>
      <c r="BK30" s="544"/>
      <c r="BL30" s="545">
        <f t="shared" si="38"/>
        <v>181.19300032248711</v>
      </c>
      <c r="BM30" s="546">
        <f t="shared" si="39"/>
        <v>-6.6845835853794471</v>
      </c>
      <c r="BN30" s="120"/>
      <c r="BO30" s="577">
        <f t="shared" si="40"/>
        <v>3.3888954565157656E-2</v>
      </c>
      <c r="BP30" s="578">
        <f t="shared" si="41"/>
        <v>0.25018597476549059</v>
      </c>
      <c r="BR30" s="513" t="str">
        <f t="shared" si="42"/>
        <v>NO-OK</v>
      </c>
      <c r="BS30" s="514" t="str">
        <f t="shared" si="43"/>
        <v>NO-OK</v>
      </c>
    </row>
    <row r="31" spans="1:71" ht="15.75" customHeight="1" thickBot="1" x14ac:dyDescent="0.3">
      <c r="A31" s="273"/>
      <c r="B31" s="274"/>
      <c r="C31" s="274"/>
      <c r="D31" s="275"/>
      <c r="E31" s="155"/>
      <c r="F31" s="155"/>
      <c r="G31" s="155"/>
      <c r="H31" s="155"/>
      <c r="I31" s="154"/>
      <c r="J31" s="154"/>
      <c r="K31" s="154"/>
      <c r="L31" s="110"/>
      <c r="M31" s="96"/>
      <c r="N31" s="96"/>
      <c r="O31" s="96"/>
      <c r="P31" s="96"/>
      <c r="Q31" s="96"/>
      <c r="R31" s="144"/>
      <c r="S31" s="148" t="s">
        <v>167</v>
      </c>
      <c r="T31" s="149"/>
      <c r="U31" s="152"/>
      <c r="AB31" s="2"/>
      <c r="AC31" s="2"/>
      <c r="AD31" s="2"/>
      <c r="AE31" s="2"/>
      <c r="AF31" s="2"/>
      <c r="AG31" s="2"/>
      <c r="AH31" s="2"/>
      <c r="AI31" s="2"/>
      <c r="AJ31" s="2"/>
      <c r="AK31" s="2"/>
      <c r="AL31" s="113"/>
      <c r="AM31" s="2"/>
      <c r="BF31" s="124" t="s">
        <v>178</v>
      </c>
      <c r="BG31" s="515" t="s">
        <v>178</v>
      </c>
      <c r="BH31" s="515" t="s">
        <v>178</v>
      </c>
      <c r="BI31" s="125" t="s">
        <v>178</v>
      </c>
      <c r="BO31" s="575" t="s">
        <v>178</v>
      </c>
      <c r="BP31" s="576" t="s">
        <v>178</v>
      </c>
    </row>
    <row r="32" spans="1:71" ht="15.75" customHeight="1" thickBot="1" x14ac:dyDescent="0.3">
      <c r="A32" s="844" t="s">
        <v>216</v>
      </c>
      <c r="B32" s="845"/>
      <c r="C32" s="845" t="s">
        <v>36</v>
      </c>
      <c r="D32" s="947"/>
      <c r="E32" s="948" t="s">
        <v>36</v>
      </c>
      <c r="F32" s="949"/>
      <c r="G32" s="949"/>
      <c r="H32" s="949"/>
      <c r="I32" s="949"/>
      <c r="J32" s="950"/>
      <c r="K32" s="154"/>
      <c r="L32" s="106" t="s">
        <v>161</v>
      </c>
      <c r="M32" s="99"/>
      <c r="N32" s="99"/>
      <c r="O32" s="99"/>
      <c r="P32" s="99"/>
      <c r="Q32" s="99"/>
      <c r="R32" s="131"/>
      <c r="S32" s="145">
        <f>+INDEX(J12:J15,MATCH(U32,I12:I15,0))</f>
        <v>1.5</v>
      </c>
      <c r="T32" s="146">
        <f>+S32/$I$27</f>
        <v>2.1428571428571428</v>
      </c>
      <c r="U32" s="147">
        <f>+I16</f>
        <v>0</v>
      </c>
      <c r="X32" s="946" t="s">
        <v>185</v>
      </c>
      <c r="Y32" s="946"/>
      <c r="Z32" s="419"/>
      <c r="AA32" s="962" t="s">
        <v>90</v>
      </c>
      <c r="AB32" s="962" t="s">
        <v>89</v>
      </c>
      <c r="AC32" s="962" t="s">
        <v>158</v>
      </c>
      <c r="AD32" s="963" t="s">
        <v>29</v>
      </c>
      <c r="AE32" s="424" t="s">
        <v>190</v>
      </c>
      <c r="AF32" s="2"/>
      <c r="AG32" s="2"/>
      <c r="AI32" s="2"/>
      <c r="AJ32" s="2"/>
      <c r="AK32" s="2"/>
      <c r="AL32" s="113"/>
      <c r="BF32" s="70">
        <f>+MAX(BF6:BF30)</f>
        <v>179.96125136710629</v>
      </c>
      <c r="BG32" s="504">
        <f t="shared" ref="BG32:BI32" si="65">+MAX(BG6:BG30)</f>
        <v>179.96125136710629</v>
      </c>
      <c r="BH32" s="505">
        <f t="shared" si="65"/>
        <v>0.47710465387779066</v>
      </c>
      <c r="BI32" s="506">
        <f t="shared" si="65"/>
        <v>0.47710465387779066</v>
      </c>
      <c r="BO32" s="577">
        <f>+MAX(BO6:BO30)</f>
        <v>0.28915433568350951</v>
      </c>
      <c r="BP32" s="578">
        <f>+MAX(BP6:BP30)</f>
        <v>0.25018597476549065</v>
      </c>
    </row>
    <row r="33" spans="1:68" ht="15.75" customHeight="1" thickBot="1" x14ac:dyDescent="0.3">
      <c r="A33" s="951" t="str">
        <f>IF(G11&gt;H11,"ERROR - AUXILIARY LINE FORCE EXCEEDS MAXIMUM","AuxiIiary Line Force OK")</f>
        <v>AuxiIiary Line Force OK</v>
      </c>
      <c r="B33" s="952"/>
      <c r="C33" s="952"/>
      <c r="D33" s="952"/>
      <c r="E33" s="940"/>
      <c r="F33" s="940"/>
      <c r="G33" s="940"/>
      <c r="H33" s="940"/>
      <c r="I33" s="940"/>
      <c r="J33" s="941"/>
      <c r="K33" s="154"/>
      <c r="L33" s="138" t="s">
        <v>162</v>
      </c>
      <c r="M33" s="139"/>
      <c r="N33" s="139"/>
      <c r="O33" s="139"/>
      <c r="P33" s="139"/>
      <c r="Q33" s="139"/>
      <c r="R33" s="140"/>
      <c r="S33" s="139">
        <f>+INDEX(J20:J23,MATCH(U33,I20:I23,0))</f>
        <v>0</v>
      </c>
      <c r="T33" s="141">
        <f>+S33/$I$27</f>
        <v>0</v>
      </c>
      <c r="U33" s="16">
        <f>+I24</f>
        <v>-9.9999999999999992E-25</v>
      </c>
      <c r="X33" s="946"/>
      <c r="Y33" s="946"/>
      <c r="Z33" s="419"/>
      <c r="AA33" s="962"/>
      <c r="AB33" s="962"/>
      <c r="AC33" s="962"/>
      <c r="AD33" s="963"/>
      <c r="AE33" s="425" t="s">
        <v>187</v>
      </c>
      <c r="AF33" s="2"/>
      <c r="AG33" s="2"/>
      <c r="AI33" s="2"/>
      <c r="AJ33" s="2"/>
      <c r="AK33" s="2"/>
      <c r="AL33" s="113"/>
      <c r="AO33" s="419" t="s">
        <v>209</v>
      </c>
      <c r="AP33" s="419"/>
      <c r="AQ33" s="419"/>
      <c r="AR33" s="419"/>
      <c r="AS33" s="419"/>
      <c r="BF33" s="507" t="s">
        <v>165</v>
      </c>
      <c r="BG33" s="477" t="s">
        <v>165</v>
      </c>
      <c r="BH33" s="505" t="s">
        <v>165</v>
      </c>
      <c r="BI33" s="506" t="s">
        <v>165</v>
      </c>
      <c r="BO33" s="507" t="s">
        <v>165</v>
      </c>
      <c r="BP33" s="512" t="s">
        <v>165</v>
      </c>
    </row>
    <row r="34" spans="1:68" ht="15.75" customHeight="1" thickBot="1" x14ac:dyDescent="0.3">
      <c r="A34" s="938" t="str">
        <f>IF(G9&gt;H9,"ERROR - EXTRACTION FORCE EXCEEDS MAXIMUM","Extraction Force OK")</f>
        <v>Extraction Force OK</v>
      </c>
      <c r="B34" s="939"/>
      <c r="C34" s="939"/>
      <c r="D34" s="939"/>
      <c r="E34" s="942"/>
      <c r="F34" s="942"/>
      <c r="G34" s="942"/>
      <c r="H34" s="942"/>
      <c r="I34" s="942"/>
      <c r="J34" s="943"/>
      <c r="K34" s="154"/>
      <c r="L34" s="17"/>
      <c r="M34" s="18"/>
      <c r="N34" s="18"/>
      <c r="O34" s="18"/>
      <c r="P34" s="957" t="s">
        <v>30</v>
      </c>
      <c r="Q34" s="958"/>
      <c r="R34" s="958"/>
      <c r="S34" s="958"/>
      <c r="T34" s="142">
        <f>+INDEX(T30:T33,MATCH(U34,U30:U33,0))</f>
        <v>3.0601938661995667</v>
      </c>
      <c r="U34" s="143">
        <f>+MAX(U30:U33)</f>
        <v>103.93320587015738</v>
      </c>
      <c r="X34" s="946"/>
      <c r="Y34" s="946"/>
      <c r="Z34" s="419"/>
      <c r="AA34" s="962"/>
      <c r="AB34" s="962"/>
      <c r="AC34" s="962"/>
      <c r="AD34" s="963"/>
      <c r="AE34" s="423" t="s">
        <v>188</v>
      </c>
      <c r="AF34" s="2"/>
      <c r="AG34" s="2"/>
      <c r="AH34" s="2"/>
      <c r="AI34" s="2"/>
      <c r="AJ34" s="2"/>
      <c r="AK34" s="2"/>
      <c r="AL34" s="113"/>
      <c r="AO34" s="503" t="s">
        <v>114</v>
      </c>
      <c r="AP34" s="503"/>
      <c r="AQ34" s="503"/>
      <c r="AR34" s="503" t="s">
        <v>117</v>
      </c>
      <c r="AS34" s="477"/>
      <c r="BF34" s="508">
        <f>+MIN(BF6:BF30)</f>
        <v>-179.96125136710629</v>
      </c>
      <c r="BG34" s="509">
        <f t="shared" ref="BG34:BI34" si="66">+MIN(BG6:BG30)</f>
        <v>-179.96125136710626</v>
      </c>
      <c r="BH34" s="510">
        <f t="shared" si="66"/>
        <v>-0.47710465387779061</v>
      </c>
      <c r="BI34" s="511">
        <f t="shared" si="66"/>
        <v>-0.47710465387779066</v>
      </c>
      <c r="BO34" s="122">
        <f>+MIN(BO6:BO30)</f>
        <v>3.3888954565157434E-2</v>
      </c>
      <c r="BP34" s="123">
        <f>+MIN(BP6:BP30)</f>
        <v>2.9321853713953704E-2</v>
      </c>
    </row>
    <row r="35" spans="1:68" ht="15.75" customHeight="1" x14ac:dyDescent="0.25">
      <c r="A35" s="938" t="str">
        <f>IF(G10&lt;H10,"ERROR - PENETRATION FORCE EXCEEDS MAXIMUM",IF(G10&gt;0,"ERROR - PENETRATION FORCE MUST BE -ve","Penetration Force OK"))</f>
        <v>Penetration Force OK</v>
      </c>
      <c r="B35" s="939"/>
      <c r="C35" s="939"/>
      <c r="D35" s="939"/>
      <c r="E35" s="942"/>
      <c r="F35" s="942"/>
      <c r="G35" s="942"/>
      <c r="H35" s="942"/>
      <c r="I35" s="942"/>
      <c r="J35" s="943"/>
      <c r="K35" s="154"/>
      <c r="L35" s="97"/>
      <c r="M35" s="98"/>
      <c r="N35" s="98"/>
      <c r="O35" s="98"/>
      <c r="P35" s="100"/>
      <c r="Q35" s="101"/>
      <c r="R35" s="101"/>
      <c r="S35" s="101"/>
      <c r="T35" s="100"/>
      <c r="U35" s="102"/>
      <c r="X35" s="419" t="s">
        <v>179</v>
      </c>
      <c r="Y35" s="419"/>
      <c r="Z35" s="419"/>
      <c r="AA35" s="419"/>
      <c r="AB35" s="419"/>
      <c r="AC35" s="419"/>
      <c r="AD35" s="419"/>
      <c r="AE35" s="423"/>
      <c r="AF35" s="2"/>
      <c r="AG35" s="2"/>
      <c r="AJ35" s="2"/>
      <c r="AK35" s="2"/>
      <c r="AL35" s="113"/>
      <c r="AO35" s="503" t="s">
        <v>115</v>
      </c>
      <c r="AP35" s="503" t="s">
        <v>116</v>
      </c>
      <c r="AQ35" s="503"/>
      <c r="AR35" s="503" t="s">
        <v>115</v>
      </c>
      <c r="AS35" s="503" t="s">
        <v>116</v>
      </c>
    </row>
    <row r="36" spans="1:68" ht="15.75" customHeight="1" x14ac:dyDescent="0.25">
      <c r="A36" s="938" t="str">
        <f>+IF(AE40=0,"Slewing Footpad Forces OK","ERROR - With Slewing Footpad Forces")</f>
        <v>Slewing Footpad Forces OK</v>
      </c>
      <c r="B36" s="939"/>
      <c r="C36" s="939"/>
      <c r="D36" s="939"/>
      <c r="E36" s="942"/>
      <c r="F36" s="942"/>
      <c r="G36" s="942"/>
      <c r="H36" s="942"/>
      <c r="I36" s="942"/>
      <c r="J36" s="943"/>
      <c r="K36" s="154"/>
      <c r="L36" s="97" t="s">
        <v>232</v>
      </c>
      <c r="M36" s="98"/>
      <c r="N36" s="15"/>
      <c r="O36" s="15"/>
      <c r="Q36" s="126">
        <f>+BO32</f>
        <v>0.28915433568350951</v>
      </c>
      <c r="R36" s="101"/>
      <c r="S36" s="101"/>
      <c r="T36" s="100"/>
      <c r="U36" s="102"/>
      <c r="X36" s="916" t="s">
        <v>74</v>
      </c>
      <c r="Y36" s="916"/>
      <c r="Z36" s="419"/>
      <c r="AA36" s="420">
        <f>+G12</f>
        <v>0</v>
      </c>
      <c r="AB36" s="420">
        <f t="shared" ref="AB36:AD36" si="67">+H12</f>
        <v>-450</v>
      </c>
      <c r="AC36" s="420">
        <f t="shared" si="67"/>
        <v>0</v>
      </c>
      <c r="AD36" s="420">
        <f t="shared" si="67"/>
        <v>1.5</v>
      </c>
      <c r="AE36" s="419">
        <f>+IF(AA36&gt;0,1,IF(AA36&lt;AB36,1,0))</f>
        <v>0</v>
      </c>
      <c r="AO36" s="503">
        <f>+-1*(I28+I27)/2</f>
        <v>-2</v>
      </c>
      <c r="AP36" s="503">
        <f>+I26/2</f>
        <v>1.907</v>
      </c>
      <c r="AQ36" s="503"/>
      <c r="AR36" s="503">
        <f>+AO36*-1</f>
        <v>2</v>
      </c>
      <c r="AS36" s="503">
        <f>+AP36</f>
        <v>1.907</v>
      </c>
    </row>
    <row r="37" spans="1:68" ht="15.75" customHeight="1" thickBot="1" x14ac:dyDescent="0.3">
      <c r="A37" s="938" t="str">
        <f>+IF(AE41=0,"Non-Slewing Footpad Forces OK","ERROR - With Non-Slewing Footpad Forces")</f>
        <v>Non-Slewing Footpad Forces OK</v>
      </c>
      <c r="B37" s="939"/>
      <c r="C37" s="939"/>
      <c r="D37" s="939"/>
      <c r="E37" s="944"/>
      <c r="F37" s="944"/>
      <c r="G37" s="944"/>
      <c r="H37" s="944"/>
      <c r="I37" s="944"/>
      <c r="J37" s="945"/>
      <c r="K37" s="154"/>
      <c r="L37" s="97" t="s">
        <v>231</v>
      </c>
      <c r="M37" s="98"/>
      <c r="N37" s="118"/>
      <c r="O37" s="103"/>
      <c r="Q37" s="126">
        <f>+BP32</f>
        <v>0.25018597476549065</v>
      </c>
      <c r="R37" s="101"/>
      <c r="S37" s="101"/>
      <c r="T37" s="100"/>
      <c r="U37" s="102"/>
      <c r="X37" s="916" t="s">
        <v>75</v>
      </c>
      <c r="Y37" s="916"/>
      <c r="Z37" s="419"/>
      <c r="AA37" s="420">
        <f t="shared" ref="AA37:AA38" si="68">+G13</f>
        <v>0</v>
      </c>
      <c r="AB37" s="420">
        <f t="shared" ref="AB37:AB39" si="69">+H13</f>
        <v>0</v>
      </c>
      <c r="AC37" s="420">
        <f t="shared" ref="AC37:AC39" si="70">+I13</f>
        <v>-9.9999999999999992E-25</v>
      </c>
      <c r="AD37" s="420">
        <f t="shared" ref="AD37:AD38" si="71">+J13</f>
        <v>0</v>
      </c>
      <c r="AE37" s="419">
        <f t="shared" ref="AE37:AE45" si="72">+IF(AA37&gt;0,1,IF(AA37&lt;AB37,1,0))</f>
        <v>0</v>
      </c>
      <c r="AO37" s="503">
        <f>+-1*(I28/2-I27/2)</f>
        <v>-1.2999999999999998</v>
      </c>
      <c r="AP37" s="503">
        <f>+I26/2</f>
        <v>1.907</v>
      </c>
      <c r="AQ37" s="503"/>
      <c r="AR37" s="503">
        <f t="shared" ref="AR37" si="73">+AO37*-1</f>
        <v>1.2999999999999998</v>
      </c>
      <c r="AS37" s="503">
        <f t="shared" ref="AS37" si="74">+AP37</f>
        <v>1.907</v>
      </c>
    </row>
    <row r="38" spans="1:68" ht="15.75" customHeight="1" x14ac:dyDescent="0.25">
      <c r="A38" s="158"/>
      <c r="B38" s="154"/>
      <c r="C38" s="154"/>
      <c r="D38" s="155"/>
      <c r="E38" s="155"/>
      <c r="F38" s="155"/>
      <c r="G38" s="155"/>
      <c r="H38" s="155"/>
      <c r="I38" s="154"/>
      <c r="J38" s="154"/>
      <c r="K38" s="154"/>
      <c r="L38" s="97" t="s">
        <v>166</v>
      </c>
      <c r="M38" s="98"/>
      <c r="N38" s="118"/>
      <c r="P38" s="100"/>
      <c r="Q38" s="103" t="str">
        <f>+IF(MIN(O6:O29)&lt;=0,"Track(s) lifting",IF(MIN(Q6:Q29)&lt;=0,"Track(s) lifting","None"))</f>
        <v>None</v>
      </c>
      <c r="R38" s="101"/>
      <c r="S38" s="101"/>
      <c r="T38" s="100"/>
      <c r="U38" s="102"/>
      <c r="X38" s="916" t="s">
        <v>77</v>
      </c>
      <c r="Y38" s="916"/>
      <c r="Z38" s="419"/>
      <c r="AA38" s="420">
        <f t="shared" si="68"/>
        <v>0</v>
      </c>
      <c r="AB38" s="420">
        <f t="shared" si="69"/>
        <v>0</v>
      </c>
      <c r="AC38" s="420">
        <f t="shared" si="70"/>
        <v>-9.9999999999999992E-25</v>
      </c>
      <c r="AD38" s="420">
        <f t="shared" si="71"/>
        <v>0</v>
      </c>
      <c r="AE38" s="419">
        <f t="shared" si="72"/>
        <v>0</v>
      </c>
      <c r="AO38" s="503">
        <f>+AO37</f>
        <v>-1.2999999999999998</v>
      </c>
      <c r="AP38" s="503">
        <f>+-1*AP37</f>
        <v>-1.907</v>
      </c>
      <c r="AQ38" s="503"/>
      <c r="AR38" s="503">
        <f>+AO38*-1</f>
        <v>1.2999999999999998</v>
      </c>
      <c r="AS38" s="503">
        <f>+AP38</f>
        <v>-1.907</v>
      </c>
    </row>
    <row r="39" spans="1:68" ht="15.75" customHeight="1" x14ac:dyDescent="0.25">
      <c r="A39" s="158"/>
      <c r="B39" s="154"/>
      <c r="C39" s="154"/>
      <c r="D39" s="155"/>
      <c r="E39" s="155"/>
      <c r="F39" s="155"/>
      <c r="G39" s="155"/>
      <c r="H39" s="155"/>
      <c r="I39" s="154"/>
      <c r="J39" s="154"/>
      <c r="K39" s="154"/>
      <c r="L39" s="107" t="s">
        <v>163</v>
      </c>
      <c r="M39" s="103"/>
      <c r="N39" s="15"/>
      <c r="P39" s="103"/>
      <c r="Q39" s="103" t="str">
        <f>IF($I$16=-1E+24,"No Slewing Foot Pads Deployed",IF(U32&gt;MAX(U6:U29),"ERROR - Slewing Foot Pad Pressure Exceeds Track Pressure","Slewing Foot Pad Pressure OK"))</f>
        <v>Slewing Foot Pad Pressure OK</v>
      </c>
      <c r="R39" s="103"/>
      <c r="S39" s="103"/>
      <c r="T39" s="103"/>
      <c r="U39" s="104"/>
      <c r="X39" s="916" t="s">
        <v>78</v>
      </c>
      <c r="Y39" s="916"/>
      <c r="Z39" s="419"/>
      <c r="AA39" s="420">
        <f>+G15</f>
        <v>0</v>
      </c>
      <c r="AB39" s="420">
        <f t="shared" si="69"/>
        <v>0</v>
      </c>
      <c r="AC39" s="420">
        <f t="shared" si="70"/>
        <v>-9.9999999999999992E-25</v>
      </c>
      <c r="AD39" s="420">
        <f>+J15</f>
        <v>0</v>
      </c>
      <c r="AE39" s="419">
        <f t="shared" si="72"/>
        <v>0</v>
      </c>
      <c r="AO39" s="503">
        <f>+AO36</f>
        <v>-2</v>
      </c>
      <c r="AP39" s="503">
        <f>+-1*AP36</f>
        <v>-1.907</v>
      </c>
      <c r="AQ39" s="503"/>
      <c r="AR39" s="503">
        <f>+AO39*-1</f>
        <v>2</v>
      </c>
      <c r="AS39" s="503">
        <f>+AP39</f>
        <v>-1.907</v>
      </c>
    </row>
    <row r="40" spans="1:68" ht="15.75" customHeight="1" thickBot="1" x14ac:dyDescent="0.3">
      <c r="A40" s="158"/>
      <c r="B40" s="154"/>
      <c r="C40" s="154"/>
      <c r="D40" s="155"/>
      <c r="E40" s="155"/>
      <c r="F40" s="155"/>
      <c r="G40" s="155"/>
      <c r="H40" s="155"/>
      <c r="I40" s="154"/>
      <c r="J40" s="154"/>
      <c r="K40" s="154"/>
      <c r="L40" s="107" t="s">
        <v>164</v>
      </c>
      <c r="M40" s="103"/>
      <c r="N40" s="15"/>
      <c r="P40" s="103"/>
      <c r="Q40" s="103" t="str">
        <f>IF($I$24=-1E+24,"No Non-Slewing Foot Pads Deployed",IF(U33&gt;MAX(U6:U29),"ERROR - Non-Slewing Foot Pad Pressure Exceeds Track Pressure","Non-Slewing Foot Pad Pressure OK"))</f>
        <v>Non-Slewing Foot Pad Pressure OK</v>
      </c>
      <c r="R40" s="103"/>
      <c r="S40" s="103"/>
      <c r="T40" s="103"/>
      <c r="U40" s="104"/>
      <c r="X40" s="419"/>
      <c r="Y40" s="419"/>
      <c r="Z40" s="419"/>
      <c r="AA40" s="419"/>
      <c r="AB40" s="419"/>
      <c r="AC40" s="419"/>
      <c r="AD40" s="421" t="s">
        <v>189</v>
      </c>
      <c r="AE40" s="422">
        <f>+MAX(AE36:AE39)</f>
        <v>0</v>
      </c>
      <c r="AO40" s="503">
        <f>+AO36</f>
        <v>-2</v>
      </c>
      <c r="AP40" s="503">
        <f>+AP36</f>
        <v>1.907</v>
      </c>
      <c r="AQ40" s="477"/>
      <c r="AR40" s="503">
        <f>+AR36</f>
        <v>2</v>
      </c>
      <c r="AS40" s="503">
        <f>+AS36</f>
        <v>1.907</v>
      </c>
    </row>
    <row r="41" spans="1:68" ht="15.75" customHeight="1" thickBot="1" x14ac:dyDescent="0.3">
      <c r="A41" s="153" t="s">
        <v>44</v>
      </c>
      <c r="B41" s="154"/>
      <c r="C41" s="154"/>
      <c r="D41" s="155"/>
      <c r="E41" s="155"/>
      <c r="F41" s="155"/>
      <c r="G41" s="155"/>
      <c r="H41" s="155"/>
      <c r="I41" s="154"/>
      <c r="J41" s="154"/>
      <c r="K41" s="154"/>
      <c r="L41" s="19"/>
      <c r="M41" s="20"/>
      <c r="N41" s="20"/>
      <c r="O41" s="20"/>
      <c r="P41" s="29"/>
      <c r="Q41" s="953" t="s">
        <v>54</v>
      </c>
      <c r="R41" s="954"/>
      <c r="S41" s="954"/>
      <c r="T41" s="955"/>
      <c r="U41" s="159">
        <v>1</v>
      </c>
      <c r="X41" s="419" t="s">
        <v>186</v>
      </c>
      <c r="Y41" s="419"/>
      <c r="Z41" s="419"/>
      <c r="AA41" s="419"/>
      <c r="AB41" s="419"/>
      <c r="AC41" s="419"/>
      <c r="AD41" s="419"/>
      <c r="AE41" s="419"/>
    </row>
    <row r="42" spans="1:68" ht="15.75" customHeight="1" x14ac:dyDescent="0.2">
      <c r="A42" s="956" t="s">
        <v>170</v>
      </c>
      <c r="B42" s="956"/>
      <c r="C42" s="956"/>
      <c r="D42" s="956"/>
      <c r="E42" s="956"/>
      <c r="F42" s="956"/>
      <c r="G42" s="956"/>
      <c r="H42" s="956"/>
      <c r="I42" s="956"/>
      <c r="J42" s="956"/>
      <c r="K42" s="956"/>
      <c r="R42" s="23"/>
      <c r="S42" s="22"/>
      <c r="T42" s="22"/>
      <c r="X42" s="916" t="s">
        <v>74</v>
      </c>
      <c r="Y42" s="916"/>
      <c r="Z42" s="419"/>
      <c r="AA42" s="420">
        <f>+G20</f>
        <v>0</v>
      </c>
      <c r="AB42" s="420">
        <f t="shared" ref="AB42:AD42" si="75">+H20</f>
        <v>0</v>
      </c>
      <c r="AC42" s="420">
        <f t="shared" si="75"/>
        <v>-9.9999999999999992E-25</v>
      </c>
      <c r="AD42" s="420">
        <f t="shared" si="75"/>
        <v>0</v>
      </c>
      <c r="AE42" s="419">
        <f t="shared" si="72"/>
        <v>0</v>
      </c>
    </row>
    <row r="43" spans="1:68" ht="15.75" customHeight="1" x14ac:dyDescent="0.2">
      <c r="A43" s="156" t="s">
        <v>169</v>
      </c>
      <c r="B43" s="154"/>
      <c r="C43" s="154"/>
      <c r="D43" s="154"/>
      <c r="E43" s="155"/>
      <c r="F43" s="155"/>
      <c r="G43" s="155"/>
      <c r="H43" s="155"/>
      <c r="I43" s="154"/>
      <c r="J43" s="154"/>
      <c r="K43" s="154"/>
      <c r="X43" s="916" t="s">
        <v>75</v>
      </c>
      <c r="Y43" s="916"/>
      <c r="Z43" s="419"/>
      <c r="AA43" s="420">
        <f t="shared" ref="AA43:AA45" si="76">+G21</f>
        <v>0</v>
      </c>
      <c r="AB43" s="420">
        <f t="shared" ref="AB43:AB45" si="77">+H21</f>
        <v>0</v>
      </c>
      <c r="AC43" s="420">
        <f t="shared" ref="AC43:AC45" si="78">+I21</f>
        <v>-9.9999999999999992E-25</v>
      </c>
      <c r="AD43" s="420">
        <f t="shared" ref="AD43:AD44" si="79">+J21</f>
        <v>0</v>
      </c>
      <c r="AE43" s="419">
        <f t="shared" si="72"/>
        <v>0</v>
      </c>
    </row>
    <row r="44" spans="1:68" ht="15.75" customHeight="1" x14ac:dyDescent="0.2">
      <c r="A44" s="156" t="s">
        <v>171</v>
      </c>
      <c r="B44" s="154"/>
      <c r="C44" s="154"/>
      <c r="D44" s="154"/>
      <c r="E44" s="155"/>
      <c r="F44" s="155"/>
      <c r="G44" s="155"/>
      <c r="H44" s="155"/>
      <c r="I44" s="154"/>
      <c r="J44" s="154"/>
      <c r="K44" s="154"/>
      <c r="X44" s="916" t="s">
        <v>77</v>
      </c>
      <c r="Y44" s="916"/>
      <c r="Z44" s="419"/>
      <c r="AA44" s="420">
        <f t="shared" si="76"/>
        <v>0</v>
      </c>
      <c r="AB44" s="420">
        <f t="shared" si="77"/>
        <v>0</v>
      </c>
      <c r="AC44" s="420">
        <f t="shared" si="78"/>
        <v>-9.9999999999999992E-25</v>
      </c>
      <c r="AD44" s="420">
        <f t="shared" si="79"/>
        <v>0</v>
      </c>
      <c r="AE44" s="419">
        <f t="shared" si="72"/>
        <v>0</v>
      </c>
    </row>
    <row r="45" spans="1:68" ht="15.75" customHeight="1" x14ac:dyDescent="0.2">
      <c r="A45" s="156" t="s">
        <v>172</v>
      </c>
      <c r="B45" s="154"/>
      <c r="C45" s="154"/>
      <c r="D45" s="154"/>
      <c r="E45" s="155"/>
      <c r="F45" s="155"/>
      <c r="G45" s="155"/>
      <c r="H45" s="155"/>
      <c r="I45" s="154"/>
      <c r="J45" s="154"/>
      <c r="K45" s="154"/>
      <c r="X45" s="916" t="s">
        <v>78</v>
      </c>
      <c r="Y45" s="916"/>
      <c r="Z45" s="419"/>
      <c r="AA45" s="420">
        <f t="shared" si="76"/>
        <v>0</v>
      </c>
      <c r="AB45" s="420">
        <f t="shared" si="77"/>
        <v>0</v>
      </c>
      <c r="AC45" s="420">
        <f t="shared" si="78"/>
        <v>-9.9999999999999992E-25</v>
      </c>
      <c r="AD45" s="420">
        <f>+J23</f>
        <v>0</v>
      </c>
      <c r="AE45" s="419">
        <f t="shared" si="72"/>
        <v>0</v>
      </c>
    </row>
    <row r="46" spans="1:68" ht="15.75" customHeight="1" x14ac:dyDescent="0.2">
      <c r="A46" s="156" t="s">
        <v>173</v>
      </c>
      <c r="B46" s="154"/>
      <c r="C46" s="154"/>
      <c r="D46" s="154"/>
      <c r="E46" s="155"/>
      <c r="F46" s="155"/>
      <c r="G46" s="155"/>
      <c r="H46" s="155"/>
      <c r="I46" s="154"/>
      <c r="J46" s="154"/>
      <c r="K46" s="154"/>
      <c r="AD46" s="421" t="s">
        <v>189</v>
      </c>
      <c r="AE46" s="422">
        <f>+MAX(AE42:AE45)</f>
        <v>0</v>
      </c>
    </row>
    <row r="47" spans="1:68" ht="15.75" customHeight="1" x14ac:dyDescent="0.25">
      <c r="A47" s="156"/>
      <c r="B47" s="154"/>
      <c r="C47" s="154"/>
      <c r="D47" s="155"/>
      <c r="E47" s="155"/>
      <c r="F47" s="155"/>
      <c r="G47" s="157"/>
      <c r="H47" s="155"/>
      <c r="I47" s="154"/>
      <c r="J47" s="154"/>
      <c r="K47" s="154"/>
      <c r="R47" s="23"/>
    </row>
    <row r="48" spans="1:68" ht="15.75" customHeight="1" x14ac:dyDescent="0.2">
      <c r="A48" s="156" t="s">
        <v>49</v>
      </c>
      <c r="B48" s="154"/>
      <c r="C48" s="154"/>
      <c r="D48" s="155"/>
      <c r="E48" s="155"/>
      <c r="F48" s="155"/>
      <c r="G48" s="155"/>
      <c r="H48" s="155"/>
      <c r="I48" s="154"/>
      <c r="J48" s="154"/>
      <c r="K48" s="154"/>
      <c r="R48" s="23"/>
    </row>
    <row r="49" spans="1:17" ht="15.75" customHeight="1" x14ac:dyDescent="0.2">
      <c r="A49" s="156" t="s">
        <v>48</v>
      </c>
      <c r="B49" s="154"/>
      <c r="C49" s="154"/>
      <c r="D49" s="155"/>
      <c r="E49" s="155"/>
      <c r="F49" s="155"/>
      <c r="G49" s="155"/>
      <c r="H49" s="155"/>
      <c r="I49" s="154"/>
      <c r="J49" s="154"/>
      <c r="K49" s="154"/>
      <c r="M49" s="1"/>
      <c r="N49" s="1"/>
      <c r="O49" s="1"/>
      <c r="P49" s="1"/>
      <c r="Q49" s="1"/>
    </row>
    <row r="50" spans="1:17" ht="15.75" customHeight="1" x14ac:dyDescent="0.2">
      <c r="A50" s="154" t="s">
        <v>45</v>
      </c>
      <c r="B50" s="154"/>
      <c r="C50" s="154"/>
      <c r="D50" s="155"/>
      <c r="E50" s="155"/>
      <c r="F50" s="155"/>
      <c r="G50" s="155"/>
      <c r="H50" s="155"/>
      <c r="I50" s="154"/>
      <c r="J50" s="154"/>
      <c r="K50" s="154"/>
      <c r="L50" s="24"/>
    </row>
    <row r="51" spans="1:17" ht="15.75" customHeight="1" x14ac:dyDescent="0.2">
      <c r="A51" s="154" t="s">
        <v>46</v>
      </c>
      <c r="B51" s="154"/>
      <c r="C51" s="154"/>
      <c r="D51" s="155"/>
      <c r="E51" s="155"/>
      <c r="F51" s="155"/>
      <c r="G51" s="155"/>
      <c r="H51" s="155"/>
      <c r="I51" s="154"/>
      <c r="J51" s="154"/>
      <c r="K51" s="154"/>
    </row>
    <row r="52" spans="1:17" ht="15.75" customHeight="1" x14ac:dyDescent="0.2">
      <c r="A52" s="158"/>
      <c r="B52" s="154"/>
      <c r="C52" s="154"/>
      <c r="D52" s="155"/>
      <c r="E52" s="155"/>
      <c r="F52" s="155"/>
      <c r="G52" s="155"/>
      <c r="H52" s="155"/>
      <c r="I52" s="154"/>
      <c r="J52" s="154"/>
      <c r="K52" s="154"/>
    </row>
    <row r="53" spans="1:17" ht="15.75" customHeight="1" x14ac:dyDescent="0.25">
      <c r="A53" s="276" t="s">
        <v>47</v>
      </c>
      <c r="B53" s="154"/>
      <c r="C53" s="155"/>
      <c r="D53" s="155"/>
      <c r="E53" s="155"/>
      <c r="F53" s="276" t="s">
        <v>64</v>
      </c>
      <c r="G53" s="155"/>
      <c r="H53" s="155"/>
      <c r="I53" s="154"/>
      <c r="J53" s="154"/>
      <c r="K53" s="154"/>
    </row>
    <row r="54" spans="1:17" ht="15.75" customHeight="1" x14ac:dyDescent="0.2">
      <c r="A54" s="1"/>
      <c r="D54" s="1"/>
      <c r="E54" s="1"/>
      <c r="F54" s="1"/>
      <c r="G54" s="1"/>
      <c r="K54" s="24"/>
    </row>
    <row r="55" spans="1:17" ht="15.75" customHeight="1" x14ac:dyDescent="0.2">
      <c r="G55" s="1"/>
    </row>
    <row r="56" spans="1:17" x14ac:dyDescent="0.2">
      <c r="G56" s="1"/>
    </row>
    <row r="57" spans="1:17" x14ac:dyDescent="0.2">
      <c r="G57" s="1"/>
    </row>
    <row r="58" spans="1:17" ht="15" x14ac:dyDescent="0.2">
      <c r="G58" s="1"/>
      <c r="L58" s="24"/>
    </row>
    <row r="59" spans="1:17" ht="15" x14ac:dyDescent="0.2">
      <c r="G59" s="1"/>
      <c r="L59" s="24"/>
    </row>
    <row r="60" spans="1:17" ht="15" x14ac:dyDescent="0.2">
      <c r="L60" s="24"/>
    </row>
    <row r="61" spans="1:17" ht="15" x14ac:dyDescent="0.2">
      <c r="L61" s="24"/>
    </row>
  </sheetData>
  <sheetProtection sheet="1" objects="1" scenarios="1"/>
  <mergeCells count="123">
    <mergeCell ref="AM1:BM1"/>
    <mergeCell ref="AA32:AA34"/>
    <mergeCell ref="AB32:AB34"/>
    <mergeCell ref="AC32:AC34"/>
    <mergeCell ref="AD32:AD34"/>
    <mergeCell ref="X36:Y36"/>
    <mergeCell ref="X42:Y42"/>
    <mergeCell ref="X37:Y37"/>
    <mergeCell ref="X38:Y38"/>
    <mergeCell ref="X39:Y39"/>
    <mergeCell ref="AU2:AY2"/>
    <mergeCell ref="AV4:AV5"/>
    <mergeCell ref="AW4:AW5"/>
    <mergeCell ref="AA1:AE1"/>
    <mergeCell ref="AG1:AK1"/>
    <mergeCell ref="AG2:AG3"/>
    <mergeCell ref="AH2:AH3"/>
    <mergeCell ref="AI2:AI3"/>
    <mergeCell ref="AJ2:AJ3"/>
    <mergeCell ref="AK2:AK3"/>
    <mergeCell ref="X44:Y44"/>
    <mergeCell ref="X45:Y45"/>
    <mergeCell ref="A37:D37"/>
    <mergeCell ref="E33:J33"/>
    <mergeCell ref="E34:J34"/>
    <mergeCell ref="E35:J35"/>
    <mergeCell ref="E36:J36"/>
    <mergeCell ref="E37:J37"/>
    <mergeCell ref="X32:Y34"/>
    <mergeCell ref="A32:D32"/>
    <mergeCell ref="E32:J32"/>
    <mergeCell ref="A33:D33"/>
    <mergeCell ref="A34:D34"/>
    <mergeCell ref="A35:D35"/>
    <mergeCell ref="A36:D36"/>
    <mergeCell ref="Q41:T41"/>
    <mergeCell ref="A42:K42"/>
    <mergeCell ref="P34:S34"/>
    <mergeCell ref="J10:J11"/>
    <mergeCell ref="G16:H16"/>
    <mergeCell ref="G24:H24"/>
    <mergeCell ref="I26:J26"/>
    <mergeCell ref="X43:Y43"/>
    <mergeCell ref="R30:S30"/>
    <mergeCell ref="G28:H28"/>
    <mergeCell ref="H6:H7"/>
    <mergeCell ref="P1:S1"/>
    <mergeCell ref="W1:Y1"/>
    <mergeCell ref="L1:O1"/>
    <mergeCell ref="Q2:Q5"/>
    <mergeCell ref="O2:O5"/>
    <mergeCell ref="P2:P5"/>
    <mergeCell ref="T3:U3"/>
    <mergeCell ref="T1:U2"/>
    <mergeCell ref="BR3:BS4"/>
    <mergeCell ref="BR2:BS2"/>
    <mergeCell ref="BJ4:BJ5"/>
    <mergeCell ref="W2:W5"/>
    <mergeCell ref="X2:X5"/>
    <mergeCell ref="Y2:Y5"/>
    <mergeCell ref="BF2:BI2"/>
    <mergeCell ref="BL3:BL5"/>
    <mergeCell ref="BM3:BM5"/>
    <mergeCell ref="AB2:AB3"/>
    <mergeCell ref="AC2:AC3"/>
    <mergeCell ref="AA2:AA3"/>
    <mergeCell ref="AD2:AD3"/>
    <mergeCell ref="AE2:AE3"/>
    <mergeCell ref="BH4:BH5"/>
    <mergeCell ref="BI4:BI5"/>
    <mergeCell ref="BF3:BF5"/>
    <mergeCell ref="BG3:BG5"/>
    <mergeCell ref="BA3:BA5"/>
    <mergeCell ref="BB3:BB5"/>
    <mergeCell ref="BD3:BD5"/>
    <mergeCell ref="AS3:AS5"/>
    <mergeCell ref="BC3:BC5"/>
    <mergeCell ref="AV3:AW3"/>
    <mergeCell ref="BO3:BO5"/>
    <mergeCell ref="BP3:BP5"/>
    <mergeCell ref="I27:J27"/>
    <mergeCell ref="I28:J28"/>
    <mergeCell ref="G27:H27"/>
    <mergeCell ref="I10:I11"/>
    <mergeCell ref="I18:I19"/>
    <mergeCell ref="G18:G19"/>
    <mergeCell ref="H18:H19"/>
    <mergeCell ref="J18:J19"/>
    <mergeCell ref="AX3:AX5"/>
    <mergeCell ref="AY3:AY5"/>
    <mergeCell ref="AU3:AU5"/>
    <mergeCell ref="AM2:AM5"/>
    <mergeCell ref="AO3:AO5"/>
    <mergeCell ref="AP3:AP5"/>
    <mergeCell ref="AQ3:AQ5"/>
    <mergeCell ref="AR3:AR5"/>
    <mergeCell ref="L2:L5"/>
    <mergeCell ref="M2:M5"/>
    <mergeCell ref="N2:N5"/>
    <mergeCell ref="R2:S2"/>
    <mergeCell ref="BA2:BD2"/>
    <mergeCell ref="AO2:AS2"/>
    <mergeCell ref="E1:E2"/>
    <mergeCell ref="G6:G7"/>
    <mergeCell ref="F27:F28"/>
    <mergeCell ref="A27:A28"/>
    <mergeCell ref="B27:B28"/>
    <mergeCell ref="C27:C28"/>
    <mergeCell ref="D27:D28"/>
    <mergeCell ref="E27:E28"/>
    <mergeCell ref="A24:A25"/>
    <mergeCell ref="B24:B25"/>
    <mergeCell ref="C24:C25"/>
    <mergeCell ref="D24:D25"/>
    <mergeCell ref="E24:E25"/>
    <mergeCell ref="F1:F2"/>
    <mergeCell ref="C1:C2"/>
    <mergeCell ref="A3:F3"/>
    <mergeCell ref="G26:H26"/>
    <mergeCell ref="F24:F25"/>
    <mergeCell ref="A18:F18"/>
    <mergeCell ref="B1:B2"/>
    <mergeCell ref="D1:D2"/>
  </mergeCells>
  <phoneticPr fontId="0" type="noConversion"/>
  <conditionalFormatting sqref="G25">
    <cfRule type="cellIs" dxfId="65" priority="28" operator="greaterThan">
      <formula>H25</formula>
    </cfRule>
  </conditionalFormatting>
  <conditionalFormatting sqref="G9">
    <cfRule type="cellIs" dxfId="64" priority="27" operator="greaterThan">
      <formula>$H$9</formula>
    </cfRule>
  </conditionalFormatting>
  <conditionalFormatting sqref="G11">
    <cfRule type="cellIs" dxfId="63" priority="26" operator="greaterThan">
      <formula>$H$11</formula>
    </cfRule>
  </conditionalFormatting>
  <conditionalFormatting sqref="G10">
    <cfRule type="cellIs" dxfId="62" priority="4" operator="greaterThan">
      <formula>0</formula>
    </cfRule>
    <cfRule type="cellIs" dxfId="61" priority="25" operator="lessThan">
      <formula>$H$10</formula>
    </cfRule>
  </conditionalFormatting>
  <conditionalFormatting sqref="W6:W29">
    <cfRule type="containsText" dxfId="60" priority="24" operator="containsText" text="Front">
      <formula>NOT(ISERROR(SEARCH("Front",W6)))</formula>
    </cfRule>
  </conditionalFormatting>
  <conditionalFormatting sqref="W6:W29">
    <cfRule type="containsText" dxfId="59" priority="23" operator="containsText" text="Rear">
      <formula>NOT(ISERROR(SEARCH("Rear",W6)))</formula>
    </cfRule>
  </conditionalFormatting>
  <conditionalFormatting sqref="G12:G15">
    <cfRule type="cellIs" dxfId="58" priority="17" operator="greaterThan">
      <formula>0</formula>
    </cfRule>
    <cfRule type="cellIs" dxfId="57" priority="18" operator="lessThan">
      <formula>$H12</formula>
    </cfRule>
  </conditionalFormatting>
  <conditionalFormatting sqref="G20:G23">
    <cfRule type="cellIs" dxfId="56" priority="5" operator="greaterThan">
      <formula>0</formula>
    </cfRule>
    <cfRule type="cellIs" dxfId="55" priority="6" operator="lessThan">
      <formula>$H20</formula>
    </cfRule>
  </conditionalFormatting>
  <dataValidations disablePrompts="1" count="1">
    <dataValidation type="list" allowBlank="1" showInputMessage="1" showErrorMessage="1" sqref="U41">
      <formula1>"0,1,2"</formula1>
    </dataValidation>
  </dataValidations>
  <pageMargins left="0.7" right="0.7" top="0.75" bottom="0.75" header="0.3" footer="0.3"/>
  <pageSetup paperSize="9" scale="5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61"/>
  <sheetViews>
    <sheetView tabSelected="1" zoomScale="75" zoomScaleNormal="75" workbookViewId="0">
      <selection activeCell="O2" sqref="O2:O5"/>
    </sheetView>
  </sheetViews>
  <sheetFormatPr defaultRowHeight="12.75" x14ac:dyDescent="0.2"/>
  <cols>
    <col min="1" max="1" width="23.375" style="21" customWidth="1"/>
    <col min="2" max="3" width="10.625" style="1" customWidth="1"/>
    <col min="4" max="8" width="10.625" style="22" customWidth="1"/>
    <col min="9" max="10" width="10.625" style="1" customWidth="1"/>
    <col min="11" max="11" width="29.75" style="1" customWidth="1"/>
    <col min="12" max="12" width="11" style="1" customWidth="1"/>
    <col min="13" max="13" width="9.125" style="22" hidden="1" customWidth="1"/>
    <col min="14" max="17" width="9.125" style="22" customWidth="1"/>
    <col min="18" max="19" width="9" style="1"/>
    <col min="20" max="20" width="9.375" style="1" bestFit="1" customWidth="1"/>
    <col min="21" max="25" width="9" style="1"/>
    <col min="26" max="26" width="3.5" style="1" customWidth="1"/>
    <col min="27" max="31" width="9.125" style="1" customWidth="1"/>
    <col min="32" max="32" width="3.5" style="1" customWidth="1"/>
    <col min="33" max="37" width="9.125" style="1" customWidth="1"/>
    <col min="38" max="38" width="2.875" style="114" customWidth="1"/>
    <col min="39" max="39" width="9" style="1"/>
    <col min="40" max="40" width="3.25" style="1" customWidth="1"/>
    <col min="41" max="45" width="9" style="1"/>
    <col min="46" max="46" width="3.25" style="1" customWidth="1"/>
    <col min="47" max="51" width="9" style="1"/>
    <col min="52" max="52" width="3.25" style="1" customWidth="1"/>
    <col min="53" max="53" width="9" style="1"/>
    <col min="54" max="54" width="11" style="1" bestFit="1" customWidth="1"/>
    <col min="55" max="56" width="9" style="1"/>
    <col min="57" max="57" width="3.5" style="1" customWidth="1"/>
    <col min="58" max="59" width="9" style="1"/>
    <col min="60" max="60" width="9.125" style="1" bestFit="1" customWidth="1"/>
    <col min="61" max="61" width="9.75" style="1" bestFit="1" customWidth="1"/>
    <col min="62" max="62" width="9.75" style="1" customWidth="1"/>
    <col min="63" max="63" width="3.5" style="1" customWidth="1"/>
    <col min="64" max="65" width="9" style="1"/>
    <col min="66" max="66" width="3.625" style="1" customWidth="1"/>
    <col min="67" max="67" width="10.875" style="1" customWidth="1"/>
    <col min="68" max="68" width="10.25" style="1" customWidth="1"/>
    <col min="69" max="69" width="3.375" style="1" customWidth="1"/>
    <col min="70" max="71" width="11.25" style="1" customWidth="1"/>
    <col min="72" max="16384" width="9" style="1"/>
  </cols>
  <sheetData>
    <row r="1" spans="1:71" s="479" customFormat="1" ht="74.25" customHeight="1" thickTop="1" thickBot="1" x14ac:dyDescent="0.35">
      <c r="A1" s="30" t="str">
        <f>'Input Page'!C4</f>
        <v>EXAMPLE</v>
      </c>
      <c r="B1" s="835" t="s">
        <v>174</v>
      </c>
      <c r="C1" s="835" t="s">
        <v>67</v>
      </c>
      <c r="D1" s="846" t="s">
        <v>68</v>
      </c>
      <c r="E1" s="815" t="s">
        <v>86</v>
      </c>
      <c r="F1" s="833" t="s">
        <v>87</v>
      </c>
      <c r="G1" s="166"/>
      <c r="H1" s="167"/>
      <c r="I1" s="168"/>
      <c r="J1" s="168"/>
      <c r="K1" s="168"/>
      <c r="L1" s="928" t="s">
        <v>38</v>
      </c>
      <c r="M1" s="929"/>
      <c r="N1" s="929"/>
      <c r="O1" s="929"/>
      <c r="P1" s="923" t="s">
        <v>42</v>
      </c>
      <c r="Q1" s="924"/>
      <c r="R1" s="924"/>
      <c r="S1" s="925"/>
      <c r="T1" s="934" t="s">
        <v>25</v>
      </c>
      <c r="U1" s="935"/>
      <c r="V1" s="1"/>
      <c r="W1" s="926" t="s">
        <v>141</v>
      </c>
      <c r="X1" s="927"/>
      <c r="Y1" s="927"/>
      <c r="Z1" s="547"/>
      <c r="AA1" s="969" t="s">
        <v>27</v>
      </c>
      <c r="AB1" s="969"/>
      <c r="AC1" s="969"/>
      <c r="AD1" s="969"/>
      <c r="AE1" s="969"/>
      <c r="AF1" s="547"/>
      <c r="AG1" s="969" t="s">
        <v>11</v>
      </c>
      <c r="AH1" s="969"/>
      <c r="AI1" s="969"/>
      <c r="AJ1" s="969"/>
      <c r="AK1" s="970"/>
      <c r="AL1" s="56"/>
      <c r="AM1" s="959" t="s">
        <v>96</v>
      </c>
      <c r="AN1" s="960"/>
      <c r="AO1" s="960"/>
      <c r="AP1" s="960"/>
      <c r="AQ1" s="960"/>
      <c r="AR1" s="960"/>
      <c r="AS1" s="960"/>
      <c r="AT1" s="960"/>
      <c r="AU1" s="960"/>
      <c r="AV1" s="960"/>
      <c r="AW1" s="960"/>
      <c r="AX1" s="960"/>
      <c r="AY1" s="960"/>
      <c r="AZ1" s="960"/>
      <c r="BA1" s="960"/>
      <c r="BB1" s="960"/>
      <c r="BC1" s="960"/>
      <c r="BD1" s="960"/>
      <c r="BE1" s="960"/>
      <c r="BF1" s="960"/>
      <c r="BG1" s="960"/>
      <c r="BH1" s="960"/>
      <c r="BI1" s="960"/>
      <c r="BJ1" s="960"/>
      <c r="BK1" s="960"/>
      <c r="BL1" s="960"/>
      <c r="BM1" s="961"/>
    </row>
    <row r="2" spans="1:71" s="479" customFormat="1" ht="27.75" customHeight="1" thickTop="1" thickBot="1" x14ac:dyDescent="0.35">
      <c r="A2" s="405" t="str">
        <f>'Input Page'!G4</f>
        <v>ZX1000</v>
      </c>
      <c r="B2" s="836"/>
      <c r="C2" s="836"/>
      <c r="D2" s="847"/>
      <c r="E2" s="816"/>
      <c r="F2" s="834"/>
      <c r="G2" s="167"/>
      <c r="H2" s="167"/>
      <c r="I2" s="168"/>
      <c r="J2" s="168"/>
      <c r="K2" s="168"/>
      <c r="L2" s="871" t="s">
        <v>12</v>
      </c>
      <c r="M2" s="873" t="s">
        <v>13</v>
      </c>
      <c r="N2" s="873" t="s">
        <v>126</v>
      </c>
      <c r="O2" s="873" t="s">
        <v>127</v>
      </c>
      <c r="P2" s="873" t="s">
        <v>128</v>
      </c>
      <c r="Q2" s="930" t="s">
        <v>129</v>
      </c>
      <c r="R2" s="875" t="s">
        <v>26</v>
      </c>
      <c r="S2" s="876"/>
      <c r="T2" s="936"/>
      <c r="U2" s="937"/>
      <c r="V2" s="1"/>
      <c r="W2" s="888" t="s">
        <v>125</v>
      </c>
      <c r="X2" s="889" t="s">
        <v>130</v>
      </c>
      <c r="Y2" s="889" t="s">
        <v>131</v>
      </c>
      <c r="Z2" s="2"/>
      <c r="AA2" s="897" t="s">
        <v>132</v>
      </c>
      <c r="AB2" s="895" t="s">
        <v>135</v>
      </c>
      <c r="AC2" s="896" t="s">
        <v>134</v>
      </c>
      <c r="AD2" s="898" t="s">
        <v>137</v>
      </c>
      <c r="AE2" s="899" t="s">
        <v>139</v>
      </c>
      <c r="AF2" s="2"/>
      <c r="AG2" s="897" t="s">
        <v>132</v>
      </c>
      <c r="AH2" s="895" t="s">
        <v>140</v>
      </c>
      <c r="AI2" s="896" t="s">
        <v>134</v>
      </c>
      <c r="AJ2" s="898" t="s">
        <v>137</v>
      </c>
      <c r="AK2" s="971" t="s">
        <v>139</v>
      </c>
      <c r="AL2" s="111"/>
      <c r="AM2" s="868" t="s">
        <v>120</v>
      </c>
      <c r="AN2" s="516"/>
      <c r="AO2" s="880" t="s">
        <v>97</v>
      </c>
      <c r="AP2" s="881"/>
      <c r="AQ2" s="881"/>
      <c r="AR2" s="881"/>
      <c r="AS2" s="882"/>
      <c r="AT2" s="517"/>
      <c r="AU2" s="964" t="s">
        <v>113</v>
      </c>
      <c r="AV2" s="965"/>
      <c r="AW2" s="965"/>
      <c r="AX2" s="965"/>
      <c r="AY2" s="966"/>
      <c r="AZ2" s="517"/>
      <c r="BA2" s="877" t="s">
        <v>118</v>
      </c>
      <c r="BB2" s="878"/>
      <c r="BC2" s="878"/>
      <c r="BD2" s="879"/>
      <c r="BE2" s="518"/>
      <c r="BF2" s="890" t="s">
        <v>106</v>
      </c>
      <c r="BG2" s="891"/>
      <c r="BH2" s="891"/>
      <c r="BI2" s="892"/>
      <c r="BJ2" s="570"/>
      <c r="BK2" s="518"/>
      <c r="BL2" s="518"/>
      <c r="BM2" s="520"/>
      <c r="BR2" s="885" t="s">
        <v>210</v>
      </c>
      <c r="BS2" s="886"/>
    </row>
    <row r="3" spans="1:71" ht="19.5" customHeight="1" thickBot="1" x14ac:dyDescent="0.25">
      <c r="A3" s="837" t="s">
        <v>153</v>
      </c>
      <c r="B3" s="838"/>
      <c r="C3" s="838"/>
      <c r="D3" s="838"/>
      <c r="E3" s="838"/>
      <c r="F3" s="839"/>
      <c r="G3" s="167"/>
      <c r="H3" s="167"/>
      <c r="I3" s="168"/>
      <c r="J3" s="168"/>
      <c r="K3" s="168"/>
      <c r="L3" s="872"/>
      <c r="M3" s="874"/>
      <c r="N3" s="874"/>
      <c r="O3" s="874"/>
      <c r="P3" s="874"/>
      <c r="Q3" s="931"/>
      <c r="R3" s="3" t="s">
        <v>4</v>
      </c>
      <c r="S3" s="4" t="s">
        <v>5</v>
      </c>
      <c r="T3" s="932" t="s">
        <v>6</v>
      </c>
      <c r="U3" s="933"/>
      <c r="W3" s="888"/>
      <c r="X3" s="889"/>
      <c r="Y3" s="889"/>
      <c r="Z3" s="2"/>
      <c r="AA3" s="897"/>
      <c r="AB3" s="895"/>
      <c r="AC3" s="896"/>
      <c r="AD3" s="898"/>
      <c r="AE3" s="899"/>
      <c r="AF3" s="2"/>
      <c r="AG3" s="897"/>
      <c r="AH3" s="895"/>
      <c r="AI3" s="896"/>
      <c r="AJ3" s="898"/>
      <c r="AK3" s="971"/>
      <c r="AL3" s="111"/>
      <c r="AM3" s="869"/>
      <c r="AN3" s="52"/>
      <c r="AO3" s="867" t="s">
        <v>98</v>
      </c>
      <c r="AP3" s="870" t="s">
        <v>99</v>
      </c>
      <c r="AQ3" s="870" t="s">
        <v>100</v>
      </c>
      <c r="AR3" s="870" t="s">
        <v>101</v>
      </c>
      <c r="AS3" s="908" t="s">
        <v>102</v>
      </c>
      <c r="AT3" s="48"/>
      <c r="AU3" s="867" t="s">
        <v>98</v>
      </c>
      <c r="AV3" s="910" t="s">
        <v>103</v>
      </c>
      <c r="AW3" s="910"/>
      <c r="AX3" s="865" t="s">
        <v>104</v>
      </c>
      <c r="AY3" s="866" t="s">
        <v>105</v>
      </c>
      <c r="AZ3" s="47"/>
      <c r="BA3" s="905" t="s">
        <v>99</v>
      </c>
      <c r="BB3" s="906" t="s">
        <v>111</v>
      </c>
      <c r="BC3" s="909" t="s">
        <v>101</v>
      </c>
      <c r="BD3" s="907" t="s">
        <v>102</v>
      </c>
      <c r="BE3" s="2"/>
      <c r="BF3" s="904" t="s">
        <v>101</v>
      </c>
      <c r="BG3" s="887" t="s">
        <v>102</v>
      </c>
      <c r="BH3" s="59" t="s">
        <v>107</v>
      </c>
      <c r="BI3" s="127"/>
      <c r="BJ3" s="59"/>
      <c r="BK3" s="2"/>
      <c r="BL3" s="848" t="s">
        <v>112</v>
      </c>
      <c r="BM3" s="893" t="s">
        <v>119</v>
      </c>
      <c r="BN3" s="119"/>
      <c r="BO3" s="848" t="s">
        <v>228</v>
      </c>
      <c r="BP3" s="850" t="s">
        <v>229</v>
      </c>
      <c r="BR3" s="883" t="s">
        <v>123</v>
      </c>
      <c r="BS3" s="884"/>
    </row>
    <row r="4" spans="1:71" ht="20.100000000000001" customHeight="1" x14ac:dyDescent="0.35">
      <c r="A4" s="169" t="s">
        <v>84</v>
      </c>
      <c r="B4" s="170">
        <f>+'Input Page'!D32</f>
        <v>54.936</v>
      </c>
      <c r="C4" s="171">
        <f>+'Input Page'!E32</f>
        <v>9.9999999999999992E-25</v>
      </c>
      <c r="D4" s="171">
        <f>+'Input Page'!F32</f>
        <v>2.74</v>
      </c>
      <c r="E4" s="170">
        <f>+'Input Page'!G32</f>
        <v>-150.52464000000001</v>
      </c>
      <c r="F4" s="172">
        <f>+'Input Page'!H32</f>
        <v>0</v>
      </c>
      <c r="G4" s="167"/>
      <c r="H4" s="167"/>
      <c r="I4" s="168"/>
      <c r="J4" s="168"/>
      <c r="K4" s="168"/>
      <c r="L4" s="872"/>
      <c r="M4" s="874"/>
      <c r="N4" s="874"/>
      <c r="O4" s="874"/>
      <c r="P4" s="874"/>
      <c r="Q4" s="931"/>
      <c r="R4" s="3" t="s">
        <v>7</v>
      </c>
      <c r="S4" s="5" t="s">
        <v>8</v>
      </c>
      <c r="T4" s="3" t="s">
        <v>9</v>
      </c>
      <c r="U4" s="6" t="s">
        <v>10</v>
      </c>
      <c r="W4" s="888"/>
      <c r="X4" s="889"/>
      <c r="Y4" s="889"/>
      <c r="Z4" s="2"/>
      <c r="AA4" s="88" t="s">
        <v>144</v>
      </c>
      <c r="AB4" s="86" t="s">
        <v>133</v>
      </c>
      <c r="AC4" s="88" t="s">
        <v>136</v>
      </c>
      <c r="AD4" s="88" t="s">
        <v>138</v>
      </c>
      <c r="AE4" s="88" t="s">
        <v>143</v>
      </c>
      <c r="AF4" s="2"/>
      <c r="AG4" s="88" t="s">
        <v>145</v>
      </c>
      <c r="AH4" s="86" t="s">
        <v>133</v>
      </c>
      <c r="AI4" s="88" t="s">
        <v>136</v>
      </c>
      <c r="AJ4" s="88" t="s">
        <v>138</v>
      </c>
      <c r="AK4" s="548" t="s">
        <v>143</v>
      </c>
      <c r="AL4" s="112"/>
      <c r="AM4" s="869"/>
      <c r="AN4" s="52"/>
      <c r="AO4" s="867"/>
      <c r="AP4" s="870"/>
      <c r="AQ4" s="870"/>
      <c r="AR4" s="870"/>
      <c r="AS4" s="908"/>
      <c r="AT4" s="49"/>
      <c r="AU4" s="867"/>
      <c r="AV4" s="967" t="s">
        <v>99</v>
      </c>
      <c r="AW4" s="967" t="s">
        <v>100</v>
      </c>
      <c r="AX4" s="865"/>
      <c r="AY4" s="866"/>
      <c r="AZ4" s="47"/>
      <c r="BA4" s="905"/>
      <c r="BB4" s="906"/>
      <c r="BC4" s="909"/>
      <c r="BD4" s="907"/>
      <c r="BE4" s="2"/>
      <c r="BF4" s="904"/>
      <c r="BG4" s="887"/>
      <c r="BH4" s="900" t="s">
        <v>108</v>
      </c>
      <c r="BI4" s="902" t="s">
        <v>109</v>
      </c>
      <c r="BJ4" s="887" t="s">
        <v>124</v>
      </c>
      <c r="BK4" s="2"/>
      <c r="BL4" s="849"/>
      <c r="BM4" s="894"/>
      <c r="BN4" s="119"/>
      <c r="BO4" s="849"/>
      <c r="BP4" s="851"/>
      <c r="BR4" s="883"/>
      <c r="BS4" s="884"/>
    </row>
    <row r="5" spans="1:71" ht="20.100000000000001" customHeight="1" thickBot="1" x14ac:dyDescent="0.25">
      <c r="A5" s="630" t="s">
        <v>236</v>
      </c>
      <c r="B5" s="173">
        <f>+'Input Page'!D34</f>
        <v>70.141499999999994</v>
      </c>
      <c r="C5" s="174">
        <f>+'Input Page'!E34</f>
        <v>-0.30069930069930073</v>
      </c>
      <c r="D5" s="174">
        <f>+'Input Page'!F34</f>
        <v>3.4671328671328676</v>
      </c>
      <c r="E5" s="173">
        <f>+'Input Page'!G34</f>
        <v>-243.18990000000002</v>
      </c>
      <c r="F5" s="175">
        <f>+'Input Page'!H34</f>
        <v>-21.0915</v>
      </c>
      <c r="G5" s="167"/>
      <c r="H5" s="167"/>
      <c r="I5" s="176"/>
      <c r="J5" s="176"/>
      <c r="K5" s="176"/>
      <c r="L5" s="872"/>
      <c r="M5" s="874"/>
      <c r="N5" s="874"/>
      <c r="O5" s="874"/>
      <c r="P5" s="874"/>
      <c r="Q5" s="931"/>
      <c r="R5" s="81"/>
      <c r="S5" s="82"/>
      <c r="T5" s="83"/>
      <c r="U5" s="6"/>
      <c r="W5" s="888"/>
      <c r="X5" s="889"/>
      <c r="Y5" s="889"/>
      <c r="Z5" s="2"/>
      <c r="AA5" s="88" t="s">
        <v>146</v>
      </c>
      <c r="AB5" s="87" t="s">
        <v>7</v>
      </c>
      <c r="AC5" s="86" t="s">
        <v>7</v>
      </c>
      <c r="AD5" s="88" t="s">
        <v>7</v>
      </c>
      <c r="AE5" s="88" t="s">
        <v>142</v>
      </c>
      <c r="AF5" s="2"/>
      <c r="AG5" s="88" t="s">
        <v>146</v>
      </c>
      <c r="AH5" s="87" t="s">
        <v>7</v>
      </c>
      <c r="AI5" s="86" t="s">
        <v>7</v>
      </c>
      <c r="AJ5" s="88" t="s">
        <v>7</v>
      </c>
      <c r="AK5" s="548" t="s">
        <v>142</v>
      </c>
      <c r="AL5" s="112"/>
      <c r="AM5" s="869"/>
      <c r="AN5" s="52"/>
      <c r="AO5" s="867"/>
      <c r="AP5" s="870"/>
      <c r="AQ5" s="870"/>
      <c r="AR5" s="870"/>
      <c r="AS5" s="908"/>
      <c r="AT5" s="48"/>
      <c r="AU5" s="867"/>
      <c r="AV5" s="968"/>
      <c r="AW5" s="968"/>
      <c r="AX5" s="865"/>
      <c r="AY5" s="866"/>
      <c r="AZ5" s="47"/>
      <c r="BA5" s="905"/>
      <c r="BB5" s="906"/>
      <c r="BC5" s="909"/>
      <c r="BD5" s="907"/>
      <c r="BE5" s="2"/>
      <c r="BF5" s="904"/>
      <c r="BG5" s="887"/>
      <c r="BH5" s="901"/>
      <c r="BI5" s="903"/>
      <c r="BJ5" s="887"/>
      <c r="BK5" s="2"/>
      <c r="BL5" s="849"/>
      <c r="BM5" s="894"/>
      <c r="BN5" s="119"/>
      <c r="BO5" s="849"/>
      <c r="BP5" s="851"/>
      <c r="BR5" s="507" t="s">
        <v>121</v>
      </c>
      <c r="BS5" s="512" t="s">
        <v>122</v>
      </c>
    </row>
    <row r="6" spans="1:71" ht="20.100000000000001" customHeight="1" x14ac:dyDescent="0.25">
      <c r="A6" s="177" t="s">
        <v>83</v>
      </c>
      <c r="B6" s="178">
        <f>+'Input Page'!D35</f>
        <v>39.24</v>
      </c>
      <c r="C6" s="179">
        <f>+'Input Page'!E35</f>
        <v>9.9999999999999992E-25</v>
      </c>
      <c r="D6" s="179">
        <f>+'Input Page'!F35</f>
        <v>-2.4500000000000002</v>
      </c>
      <c r="E6" s="178">
        <f>+'Input Page'!G35</f>
        <v>96.138000000000005</v>
      </c>
      <c r="F6" s="180">
        <f>+'Input Page'!H35</f>
        <v>0</v>
      </c>
      <c r="G6" s="817" t="s">
        <v>90</v>
      </c>
      <c r="H6" s="921" t="s">
        <v>89</v>
      </c>
      <c r="I6" s="181"/>
      <c r="J6" s="182"/>
      <c r="K6" s="176"/>
      <c r="L6" s="412">
        <v>0</v>
      </c>
      <c r="M6" s="7">
        <f t="shared" ref="M6:M29" si="0">+IF(ABS(BI6)&gt;$I$26/2,"ERROR",IF(ABS(BI6)&gt;$I$26/6,$B$27/(3*($I$26/2-ABS(BI6))*2*$I$27),$B$27/(2*$I$26*$I$27)))</f>
        <v>70.640965615401896</v>
      </c>
      <c r="N6" s="7">
        <f t="shared" ref="N6:N29" si="1">+((($I$28/2)-$BH6)*Y6*2)/$I$28</f>
        <v>127.85184760982825</v>
      </c>
      <c r="O6" s="7">
        <f t="shared" ref="O6:O29" si="2">+((($I$28/2)-$BH6)*X6*2)/$I$28</f>
        <v>18.217980569333964</v>
      </c>
      <c r="P6" s="7">
        <f t="shared" ref="P6:P29" si="3">+(BH6+$I$28/2)*Y6*2/$I$28</f>
        <v>119.47035666616455</v>
      </c>
      <c r="Q6" s="8">
        <f t="shared" ref="Q6:Q29" si="4">+((BH6+$I$28/2)*X6*2)/$I$28</f>
        <v>17.023677616280853</v>
      </c>
      <c r="R6" s="77">
        <f>+IF(N6&gt;P6,AB6,AH6)</f>
        <v>0.47710465387779066</v>
      </c>
      <c r="S6" s="78">
        <f>+IF(N6&gt;P6,AC6,AI6)</f>
        <v>3.8140000000000001</v>
      </c>
      <c r="T6" s="80">
        <f>+IF(N6&gt;P6,AD6,AJ6)</f>
        <v>2.8597906922444185</v>
      </c>
      <c r="U6" s="79">
        <f>+MAX(AE6,AK6)</f>
        <v>97.404038377034851</v>
      </c>
      <c r="W6" s="549" t="str">
        <f>+IF(BI6&lt;0,"Max @ Rear","Max @ Front")</f>
        <v>Max @ Front</v>
      </c>
      <c r="X6" s="76">
        <f>+IF(ABS(BI6)&gt;$I$26/2,"ERROR",IF(ABS(BH6)&gt;$I$28/2,"ERROR",IF(ABS(BI6)&lt;$I$26/6,($B$27/(2*$I$27*$I$26)*(1-(6*ABS(BI6)/$I$26))),0)))</f>
        <v>17.620829092807409</v>
      </c>
      <c r="Y6" s="76">
        <f>+IF(ABS(BI6)&gt;$I$26/2,"ERROR",IF(ABS(BH6)&gt;$I$28/2,"ERROR",IF(ABS(BI6)&lt;$I$26/6,($B$27/(2*$I$27*$I$26)*(1+(6*ABS(BI6)/$I$26))),($B$27/(3*$I$27*($I$26/2-ABS(BI6)))))))</f>
        <v>123.66110213799639</v>
      </c>
      <c r="Z6" s="2"/>
      <c r="AA6" s="115">
        <f t="shared" ref="AA6:AA30" si="5">+(($I$28/2-BH6)*$B$27)/($I$28)</f>
        <v>194.98861363636362</v>
      </c>
      <c r="AB6" s="90">
        <f>+BI6</f>
        <v>0.47710465387779066</v>
      </c>
      <c r="AC6" s="91">
        <f t="shared" ref="AC6:AC30" si="6">+IF(O6&gt;0,$I$26,AA6/(N6*$I$27*0.5))</f>
        <v>3.8140000000000001</v>
      </c>
      <c r="AD6" s="92">
        <f t="shared" ref="AD6:AD30" si="7">+($I$26/2-ABS(AB6))*2</f>
        <v>2.8597906922444185</v>
      </c>
      <c r="AE6" s="43">
        <f t="shared" ref="AE6:AE30" si="8">+IF(O6&gt;0,((O6*$I$26)+((N6-O6)*$I$26/2))/AD6,3*N6/4)</f>
        <v>97.404038377034851</v>
      </c>
      <c r="AF6" s="2"/>
      <c r="AG6" s="89">
        <f t="shared" ref="AG6:AG30" si="9">+$B$27-AA6</f>
        <v>182.20588636363632</v>
      </c>
      <c r="AH6" s="90">
        <f>+BI6</f>
        <v>0.47710465387779066</v>
      </c>
      <c r="AI6" s="91">
        <f t="shared" ref="AI6:AI30" si="10">+IF(O6&gt;0,$I$26,AA6/(N6*$I$27*0.5))</f>
        <v>3.8140000000000001</v>
      </c>
      <c r="AJ6" s="92">
        <f t="shared" ref="AJ6:AJ30" si="11">+($I$26/2-ABS(AH6))*2</f>
        <v>2.8597906922444185</v>
      </c>
      <c r="AK6" s="550">
        <f t="shared" ref="AK6:AK30" si="12">+IF(Q6&gt;0,((Q6*$I$26)+((P6-Q6)*$I$26/2))/AJ6,3*P6/4)</f>
        <v>91.018592403466968</v>
      </c>
      <c r="AL6" s="42"/>
      <c r="AM6" s="521">
        <f t="shared" ref="AM6:AM29" si="13">+L6</f>
        <v>0</v>
      </c>
      <c r="AN6" s="522"/>
      <c r="AO6" s="60">
        <f>+B24</f>
        <v>98.1</v>
      </c>
      <c r="AP6" s="74">
        <f>+C24</f>
        <v>0</v>
      </c>
      <c r="AQ6" s="74">
        <f>+D24</f>
        <v>0</v>
      </c>
      <c r="AR6" s="61">
        <f>+E24</f>
        <v>0</v>
      </c>
      <c r="AS6" s="62">
        <f>+F24</f>
        <v>0</v>
      </c>
      <c r="AT6" s="67"/>
      <c r="AU6" s="63">
        <f t="shared" ref="AU6:AU30" si="14">+$B$16</f>
        <v>279.09449999999998</v>
      </c>
      <c r="AV6" s="64">
        <f t="shared" ref="AV6:AV30" si="15">+$C$16</f>
        <v>-7.5571177504393683E-2</v>
      </c>
      <c r="AW6" s="64">
        <f t="shared" ref="AW6:AW30" si="16">+$D$16</f>
        <v>0.64480400497718982</v>
      </c>
      <c r="AX6" s="68">
        <f>+DEGREES(ATAN(AV6/AW6))</f>
        <v>-6.6845835853794027</v>
      </c>
      <c r="AY6" s="72">
        <f>+(AV6^2+AW6^2)^0.5</f>
        <v>0.64921738093186043</v>
      </c>
      <c r="AZ6" s="523"/>
      <c r="BA6" s="65">
        <f>+AY6*(SIN(RADIANS(AX6+AM6)))</f>
        <v>-7.5571177504393683E-2</v>
      </c>
      <c r="BB6" s="66">
        <f>+AY6*(COS(RADIANS(AX6+AM6)))</f>
        <v>0.64480400497718982</v>
      </c>
      <c r="BC6" s="117">
        <f>+BB6*AU6*-1</f>
        <v>-179.96125136710629</v>
      </c>
      <c r="BD6" s="62">
        <f>+BA6*AU6</f>
        <v>-21.0915</v>
      </c>
      <c r="BE6" s="67"/>
      <c r="BF6" s="60">
        <f>+BC6+AR6</f>
        <v>-179.96125136710629</v>
      </c>
      <c r="BG6" s="61">
        <f>+BD6+AS6</f>
        <v>-21.0915</v>
      </c>
      <c r="BH6" s="116">
        <f>+IF(BG6=0,1E-24/(AO6+AU6),(BG6/(AO6+AU6)))</f>
        <v>-5.5916775032509761E-2</v>
      </c>
      <c r="BI6" s="128">
        <f>+IF(BF6=0,1E-24/(AO6+AU6)*-1,BF6/(AO6+AU6)*-1)</f>
        <v>0.47710465387779066</v>
      </c>
      <c r="BJ6" s="66" t="str">
        <f t="shared" ref="BJ6:BJ30" si="17">+IF(ABS(BI6)&gt;($I$26/6),"yes","no")</f>
        <v>no</v>
      </c>
      <c r="BK6" s="2"/>
      <c r="BL6" s="71">
        <f>+(BF6^2+BG6^2)^0.5</f>
        <v>181.19300032248714</v>
      </c>
      <c r="BM6" s="524">
        <f>+DEGREES(ATAN(BH6/BI6))</f>
        <v>-6.6845835853794027</v>
      </c>
      <c r="BN6" s="120"/>
      <c r="BO6" s="577">
        <f>+ABS(BH6/($I$28/2))</f>
        <v>3.3888954565157434E-2</v>
      </c>
      <c r="BP6" s="578">
        <f>+ABS(BI6)/($I$26/2)</f>
        <v>0.25018597476549065</v>
      </c>
      <c r="BR6" s="507" t="str">
        <f>+IF(ABS(BI6)&gt;$I$26/2,"YES-ERROR","NO-OK")</f>
        <v>NO-OK</v>
      </c>
      <c r="BS6" s="512" t="str">
        <f>+IF(ABS(BH6)&gt;$I$28/2,"YES-ERROR","NO-OK")</f>
        <v>NO-OK</v>
      </c>
    </row>
    <row r="7" spans="1:71" ht="20.100000000000001" customHeight="1" x14ac:dyDescent="0.25">
      <c r="A7" s="183" t="s">
        <v>85</v>
      </c>
      <c r="B7" s="184">
        <f>+'Input Page'!D36</f>
        <v>9.9999999999999992E-25</v>
      </c>
      <c r="C7" s="185">
        <f>+'Input Page'!E36</f>
        <v>9.9999999999999992E-25</v>
      </c>
      <c r="D7" s="185">
        <f>+'Input Page'!F36</f>
        <v>9.9999999999999992E-25</v>
      </c>
      <c r="E7" s="184">
        <f>+'Input Page'!G36</f>
        <v>0</v>
      </c>
      <c r="F7" s="186">
        <f>+'Input Page'!H36</f>
        <v>0</v>
      </c>
      <c r="G7" s="818"/>
      <c r="H7" s="922"/>
      <c r="I7" s="181"/>
      <c r="J7" s="182"/>
      <c r="K7" s="176"/>
      <c r="L7" s="413">
        <f>+IF('Input Page'!$G$68="YES",Travelling!L6+15,0)</f>
        <v>15</v>
      </c>
      <c r="M7" s="9">
        <f t="shared" si="0"/>
        <v>70.640965615401896</v>
      </c>
      <c r="N7" s="9">
        <f t="shared" si="1"/>
        <v>118.26444887783073</v>
      </c>
      <c r="O7" s="9">
        <f t="shared" si="2"/>
        <v>17.068886800675809</v>
      </c>
      <c r="P7" s="9">
        <f t="shared" si="3"/>
        <v>128.66110940588834</v>
      </c>
      <c r="Q7" s="10">
        <f t="shared" si="4"/>
        <v>18.569417377212705</v>
      </c>
      <c r="R7" s="11">
        <f t="shared" ref="R7:R29" si="18">+IF(N7&gt;P7,AB7,AH7)</f>
        <v>0.47532003334239159</v>
      </c>
      <c r="S7" s="12">
        <f t="shared" ref="S7:S29" si="19">+IF(N7&gt;P7,AC7,AI7)</f>
        <v>3.8140000000000001</v>
      </c>
      <c r="T7" s="13">
        <f t="shared" ref="T7:T29" si="20">+IF(N7&gt;P7,AD7,AJ7)</f>
        <v>2.8633599333152171</v>
      </c>
      <c r="U7" s="14">
        <f t="shared" ref="U7:U29" si="21">+MAX(AE7,AK7)</f>
        <v>98.055648299268455</v>
      </c>
      <c r="W7" s="549" t="str">
        <f t="shared" ref="W7:W29" si="22">+IF(BI7&lt;0,"Max @ Rear","Max @ Front")</f>
        <v>Max @ Front</v>
      </c>
      <c r="X7" s="76">
        <f t="shared" ref="X7:X30" si="23">+IF(ABS(BI7)&gt;$I$26/2,"ERROR",IF(ABS(BH7)&gt;$I$28/2,"ERROR",IF(ABS(BI7)&lt;$I$26/6,($B$27/(2*$I$27*$I$26)*(1-(6*ABS(BI7)/$I$26))),0)))</f>
        <v>17.819152088944257</v>
      </c>
      <c r="Y7" s="76">
        <f t="shared" ref="Y7:Y30" si="24">+IF(ABS(BI7)&gt;$I$26/2,"ERROR",IF(ABS(BH7)&gt;$I$28/2,"ERROR",IF(ABS(BI7)&lt;$I$26/6,($B$27/(2*$I$27*$I$26)*(1+(6*ABS(BI7)/$I$26))),($B$27/(3*$I$27*($I$26/2-ABS(BI7)))))))</f>
        <v>123.46277914185953</v>
      </c>
      <c r="Z7" s="2"/>
      <c r="AA7" s="89">
        <f t="shared" si="5"/>
        <v>180.65646979723837</v>
      </c>
      <c r="AB7" s="90">
        <f t="shared" ref="AB7:AB30" si="25">+BI7</f>
        <v>0.47532003334239159</v>
      </c>
      <c r="AC7" s="91">
        <f t="shared" si="6"/>
        <v>3.8140000000000001</v>
      </c>
      <c r="AD7" s="92">
        <f t="shared" si="7"/>
        <v>2.8633599333152171</v>
      </c>
      <c r="AE7" s="43">
        <f t="shared" si="8"/>
        <v>90.132109531931761</v>
      </c>
      <c r="AF7" s="2"/>
      <c r="AG7" s="89">
        <f t="shared" si="9"/>
        <v>196.53803020276158</v>
      </c>
      <c r="AH7" s="90">
        <f t="shared" ref="AH7:AH30" si="26">+BI7</f>
        <v>0.47532003334239159</v>
      </c>
      <c r="AI7" s="91">
        <f t="shared" si="10"/>
        <v>3.8140000000000001</v>
      </c>
      <c r="AJ7" s="92">
        <f t="shared" si="11"/>
        <v>2.8633599333152171</v>
      </c>
      <c r="AK7" s="550">
        <f t="shared" si="12"/>
        <v>98.055648299268455</v>
      </c>
      <c r="AL7" s="42"/>
      <c r="AM7" s="525">
        <f t="shared" si="13"/>
        <v>15</v>
      </c>
      <c r="AN7" s="526"/>
      <c r="AO7" s="54">
        <f>+AO$6</f>
        <v>98.1</v>
      </c>
      <c r="AP7" s="75">
        <f t="shared" ref="AP7:AS22" si="27">+AP$6</f>
        <v>0</v>
      </c>
      <c r="AQ7" s="75">
        <f t="shared" si="27"/>
        <v>0</v>
      </c>
      <c r="AR7" s="53">
        <f t="shared" si="27"/>
        <v>0</v>
      </c>
      <c r="AS7" s="55">
        <f t="shared" si="27"/>
        <v>0</v>
      </c>
      <c r="AT7" s="2"/>
      <c r="AU7" s="51">
        <f t="shared" si="14"/>
        <v>279.09449999999998</v>
      </c>
      <c r="AV7" s="50">
        <f t="shared" si="15"/>
        <v>-7.5571177504393683E-2</v>
      </c>
      <c r="AW7" s="50">
        <f t="shared" si="16"/>
        <v>0.64480400497718982</v>
      </c>
      <c r="AX7" s="69">
        <f t="shared" ref="AX7:AX30" si="28">+DEGREES(ATAN(AV7/AW7))</f>
        <v>-6.6845835853794027</v>
      </c>
      <c r="AY7" s="73">
        <f t="shared" ref="AY7:AY30" si="29">+(AV7^2+AW7^2)^0.5</f>
        <v>0.64921738093186043</v>
      </c>
      <c r="AZ7" s="527"/>
      <c r="BA7" s="58">
        <f t="shared" ref="BA7:BA30" si="30">+AY7*(SIN(RADIANS(AX7+AM7)))</f>
        <v>9.3891404771907966E-2</v>
      </c>
      <c r="BB7" s="57">
        <f t="shared" ref="BB7:BB30" si="31">+AY7*(COS(RADIANS(AX7+AM7)))</f>
        <v>0.64239210130105284</v>
      </c>
      <c r="BC7" s="53">
        <f t="shared" ref="BC7:BC30" si="32">+BB7*AU7*-1</f>
        <v>-179.28810231656669</v>
      </c>
      <c r="BD7" s="55">
        <f t="shared" ref="BD7:BD30" si="33">+BA7*AU7</f>
        <v>26.204574669113267</v>
      </c>
      <c r="BE7" s="2"/>
      <c r="BF7" s="54">
        <f t="shared" ref="BF7:BG30" si="34">+BC7+AR7</f>
        <v>-179.28810231656669</v>
      </c>
      <c r="BG7" s="53">
        <f t="shared" si="34"/>
        <v>26.204574669113267</v>
      </c>
      <c r="BH7" s="57">
        <f t="shared" ref="BH7:BH30" si="35">+IF(BG7=0,1E-24/(AO7+AU7),(BG7/(AO7+AU7)))</f>
        <v>6.9472313803921507E-2</v>
      </c>
      <c r="BI7" s="129">
        <f t="shared" ref="BI7:BI30" si="36">+IF(BF7=0,1E-24/(AO7+AU7)*-1,BF7/(AO7+AU7)*-1)</f>
        <v>0.47532003334239159</v>
      </c>
      <c r="BJ7" s="66" t="str">
        <f t="shared" si="17"/>
        <v>no</v>
      </c>
      <c r="BK7" s="2"/>
      <c r="BL7" s="70">
        <f t="shared" ref="BL7:BL30" si="37">+(BF7^2+BG7^2)^0.5</f>
        <v>181.19300032248714</v>
      </c>
      <c r="BM7" s="528">
        <f t="shared" ref="BM7:BM30" si="38">+DEGREES(ATAN(BH7/BI7))</f>
        <v>8.3154164146205947</v>
      </c>
      <c r="BN7" s="121"/>
      <c r="BO7" s="577">
        <f t="shared" ref="BO7:BO30" si="39">+ABS(BH7/($I$28/2))</f>
        <v>4.2104432608437277E-2</v>
      </c>
      <c r="BP7" s="578">
        <f t="shared" ref="BP7:BP30" si="40">+ABS(BI7)/($I$26/2)</f>
        <v>0.24925014858017389</v>
      </c>
      <c r="BR7" s="507" t="str">
        <f t="shared" ref="BR7:BR30" si="41">+IF(ABS(BI7)&gt;$I$26/2,"YES-ERROR","NO-OK")</f>
        <v>NO-OK</v>
      </c>
      <c r="BS7" s="512" t="str">
        <f t="shared" ref="BS7:BS30" si="42">+IF(ABS(BH7)&gt;$I$28/2,"YES-ERROR","NO-OK")</f>
        <v>NO-OK</v>
      </c>
    </row>
    <row r="8" spans="1:71" ht="19.5" customHeight="1" thickBot="1" x14ac:dyDescent="0.3">
      <c r="A8" s="187" t="s">
        <v>214</v>
      </c>
      <c r="B8" s="188">
        <f>+'Input Page'!D33</f>
        <v>114.777</v>
      </c>
      <c r="C8" s="189">
        <f>+'Input Page'!E33</f>
        <v>9.9999999999999992E-25</v>
      </c>
      <c r="D8" s="189">
        <f>+'Input Page'!F33</f>
        <v>-1.0247287229400814</v>
      </c>
      <c r="E8" s="188">
        <f>+'Input Page'!G33</f>
        <v>117.61528863289372</v>
      </c>
      <c r="F8" s="190">
        <f>+'Input Page'!H33</f>
        <v>0</v>
      </c>
      <c r="G8" s="191"/>
      <c r="H8" s="192"/>
      <c r="I8" s="182"/>
      <c r="J8" s="182"/>
      <c r="K8" s="176"/>
      <c r="L8" s="413">
        <f>+IF('Input Page'!$G$68="YES",Travelling!L7+15,0)</f>
        <v>30</v>
      </c>
      <c r="M8" s="9">
        <f t="shared" si="0"/>
        <v>70.640965615401896</v>
      </c>
      <c r="N8" s="9">
        <f t="shared" si="1"/>
        <v>105.8759520334324</v>
      </c>
      <c r="O8" s="9">
        <f t="shared" si="2"/>
        <v>19.126278100788589</v>
      </c>
      <c r="P8" s="9">
        <f t="shared" si="3"/>
        <v>133.45352165870506</v>
      </c>
      <c r="Q8" s="10">
        <f t="shared" si="4"/>
        <v>24.108110668681533</v>
      </c>
      <c r="R8" s="11">
        <f t="shared" si="18"/>
        <v>0.44114313803820338</v>
      </c>
      <c r="S8" s="12">
        <f t="shared" si="19"/>
        <v>3.8140000000000001</v>
      </c>
      <c r="T8" s="13">
        <f t="shared" si="20"/>
        <v>2.9317137239235933</v>
      </c>
      <c r="U8" s="14">
        <f t="shared" si="21"/>
        <v>102.48955428233249</v>
      </c>
      <c r="W8" s="549" t="str">
        <f t="shared" si="22"/>
        <v>Max @ Front</v>
      </c>
      <c r="X8" s="76">
        <f t="shared" si="23"/>
        <v>21.617194384735061</v>
      </c>
      <c r="Y8" s="76">
        <f t="shared" si="24"/>
        <v>119.66473684606873</v>
      </c>
      <c r="Z8" s="2"/>
      <c r="AA8" s="89">
        <f t="shared" si="5"/>
        <v>166.8654770061716</v>
      </c>
      <c r="AB8" s="90">
        <f t="shared" si="25"/>
        <v>0.44114313803820338</v>
      </c>
      <c r="AC8" s="91">
        <f t="shared" si="6"/>
        <v>3.8140000000000001</v>
      </c>
      <c r="AD8" s="92">
        <f t="shared" si="7"/>
        <v>2.9317137239235933</v>
      </c>
      <c r="AE8" s="43">
        <f t="shared" si="8"/>
        <v>81.310549157893192</v>
      </c>
      <c r="AF8" s="2"/>
      <c r="AG8" s="89">
        <f t="shared" si="9"/>
        <v>210.32902299382835</v>
      </c>
      <c r="AH8" s="90">
        <f t="shared" si="26"/>
        <v>0.44114313803820338</v>
      </c>
      <c r="AI8" s="91">
        <f t="shared" si="10"/>
        <v>3.8140000000000001</v>
      </c>
      <c r="AJ8" s="92">
        <f t="shared" si="11"/>
        <v>2.9317137239235933</v>
      </c>
      <c r="AK8" s="550">
        <f t="shared" si="12"/>
        <v>102.48955428233249</v>
      </c>
      <c r="AL8" s="42"/>
      <c r="AM8" s="525">
        <f t="shared" si="13"/>
        <v>30</v>
      </c>
      <c r="AN8" s="526"/>
      <c r="AO8" s="54">
        <f t="shared" ref="AO8:AS30" si="43">+AO$6</f>
        <v>98.1</v>
      </c>
      <c r="AP8" s="75">
        <f t="shared" si="27"/>
        <v>0</v>
      </c>
      <c r="AQ8" s="75">
        <f t="shared" si="27"/>
        <v>0</v>
      </c>
      <c r="AR8" s="53">
        <f t="shared" si="27"/>
        <v>0</v>
      </c>
      <c r="AS8" s="55">
        <f t="shared" si="27"/>
        <v>0</v>
      </c>
      <c r="AT8" s="2"/>
      <c r="AU8" s="51">
        <f t="shared" si="14"/>
        <v>279.09449999999998</v>
      </c>
      <c r="AV8" s="50">
        <f t="shared" si="15"/>
        <v>-7.5571177504393683E-2</v>
      </c>
      <c r="AW8" s="50">
        <f t="shared" si="16"/>
        <v>0.64480400497718982</v>
      </c>
      <c r="AX8" s="69">
        <f t="shared" si="28"/>
        <v>-6.6845835853794027</v>
      </c>
      <c r="AY8" s="73">
        <f t="shared" si="29"/>
        <v>0.64921738093186043</v>
      </c>
      <c r="AZ8" s="527"/>
      <c r="BA8" s="58">
        <f t="shared" si="30"/>
        <v>0.25695544297588685</v>
      </c>
      <c r="BB8" s="57">
        <f t="shared" si="31"/>
        <v>0.59620223752439083</v>
      </c>
      <c r="BC8" s="53">
        <f t="shared" si="32"/>
        <v>-166.39676538075108</v>
      </c>
      <c r="BD8" s="55">
        <f t="shared" si="33"/>
        <v>71.714850879633644</v>
      </c>
      <c r="BE8" s="2"/>
      <c r="BF8" s="54">
        <f t="shared" si="34"/>
        <v>-166.39676538075108</v>
      </c>
      <c r="BG8" s="53">
        <f t="shared" si="34"/>
        <v>71.714850879633644</v>
      </c>
      <c r="BH8" s="57">
        <f t="shared" si="35"/>
        <v>0.19012697926304242</v>
      </c>
      <c r="BI8" s="129">
        <f t="shared" si="36"/>
        <v>0.44114313803820338</v>
      </c>
      <c r="BJ8" s="66" t="str">
        <f t="shared" si="17"/>
        <v>no</v>
      </c>
      <c r="BK8" s="2"/>
      <c r="BL8" s="70">
        <f t="shared" si="37"/>
        <v>181.19300032248711</v>
      </c>
      <c r="BM8" s="528">
        <f t="shared" si="38"/>
        <v>23.315416414620596</v>
      </c>
      <c r="BN8" s="121"/>
      <c r="BO8" s="577">
        <f t="shared" si="39"/>
        <v>0.11522847228063178</v>
      </c>
      <c r="BP8" s="578">
        <f t="shared" si="40"/>
        <v>0.23132833667446429</v>
      </c>
      <c r="BR8" s="507" t="str">
        <f t="shared" si="41"/>
        <v>NO-OK</v>
      </c>
      <c r="BS8" s="512" t="str">
        <f t="shared" si="42"/>
        <v>NO-OK</v>
      </c>
    </row>
    <row r="9" spans="1:71" ht="19.5" customHeight="1" thickBot="1" x14ac:dyDescent="0.3">
      <c r="A9" s="193" t="s">
        <v>220</v>
      </c>
      <c r="B9" s="194">
        <f>+IF(G9&gt;0,+G9-B5,0)</f>
        <v>0</v>
      </c>
      <c r="C9" s="195">
        <f>+'Input Page'!E48</f>
        <v>-0.30069930069930073</v>
      </c>
      <c r="D9" s="195">
        <f>+'Input Page'!F48</f>
        <v>3.4671328671328676</v>
      </c>
      <c r="E9" s="196">
        <f>+B9*D9*-1</f>
        <v>0</v>
      </c>
      <c r="F9" s="197">
        <f>+B9*C9</f>
        <v>0</v>
      </c>
      <c r="G9" s="618">
        <v>0</v>
      </c>
      <c r="H9" s="199">
        <f>+'Input Page'!D48</f>
        <v>392</v>
      </c>
      <c r="I9" s="181"/>
      <c r="J9" s="181"/>
      <c r="K9" s="176"/>
      <c r="L9" s="413">
        <f>+IF('Input Page'!$G$68="YES",Travelling!L8+15,0)</f>
        <v>45</v>
      </c>
      <c r="M9" s="9">
        <f t="shared" si="0"/>
        <v>70.640965615401896</v>
      </c>
      <c r="N9" s="9">
        <f t="shared" si="1"/>
        <v>92.214910932631383</v>
      </c>
      <c r="O9" s="9">
        <f t="shared" si="2"/>
        <v>23.56564838355807</v>
      </c>
      <c r="P9" s="9">
        <f t="shared" si="3"/>
        <v>132.83670018040965</v>
      </c>
      <c r="Q9" s="10">
        <f t="shared" si="4"/>
        <v>33.946602965008495</v>
      </c>
      <c r="R9" s="11">
        <f t="shared" si="18"/>
        <v>0.37690306690021674</v>
      </c>
      <c r="S9" s="12">
        <f t="shared" si="19"/>
        <v>3.8140000000000001</v>
      </c>
      <c r="T9" s="13">
        <f t="shared" si="20"/>
        <v>3.0601938661995667</v>
      </c>
      <c r="U9" s="14">
        <f t="shared" si="21"/>
        <v>103.93320587015738</v>
      </c>
      <c r="W9" s="549" t="str">
        <f t="shared" si="22"/>
        <v>Max @ Front</v>
      </c>
      <c r="X9" s="76">
        <f t="shared" si="23"/>
        <v>28.756125674283279</v>
      </c>
      <c r="Y9" s="76">
        <f t="shared" si="24"/>
        <v>112.52580555652051</v>
      </c>
      <c r="Z9" s="2"/>
      <c r="AA9" s="89">
        <f t="shared" si="5"/>
        <v>154.5554686311813</v>
      </c>
      <c r="AB9" s="90">
        <f t="shared" si="25"/>
        <v>0.37690306690021674</v>
      </c>
      <c r="AC9" s="91">
        <f t="shared" si="6"/>
        <v>3.8140000000000001</v>
      </c>
      <c r="AD9" s="92">
        <f t="shared" si="7"/>
        <v>3.0601938661995667</v>
      </c>
      <c r="AE9" s="43">
        <f t="shared" si="8"/>
        <v>72.150176188077666</v>
      </c>
      <c r="AF9" s="2"/>
      <c r="AG9" s="89">
        <f t="shared" si="9"/>
        <v>222.63903136881865</v>
      </c>
      <c r="AH9" s="90">
        <f t="shared" si="26"/>
        <v>0.37690306690021674</v>
      </c>
      <c r="AI9" s="91">
        <f t="shared" si="10"/>
        <v>3.8140000000000001</v>
      </c>
      <c r="AJ9" s="92">
        <f t="shared" si="11"/>
        <v>3.0601938661995667</v>
      </c>
      <c r="AK9" s="550">
        <f t="shared" si="12"/>
        <v>103.93320587015738</v>
      </c>
      <c r="AL9" s="42"/>
      <c r="AM9" s="525">
        <f t="shared" si="13"/>
        <v>45</v>
      </c>
      <c r="AN9" s="526"/>
      <c r="AO9" s="54">
        <f t="shared" si="43"/>
        <v>98.1</v>
      </c>
      <c r="AP9" s="75">
        <f t="shared" si="27"/>
        <v>0</v>
      </c>
      <c r="AQ9" s="75">
        <f t="shared" si="27"/>
        <v>0</v>
      </c>
      <c r="AR9" s="53">
        <f t="shared" si="27"/>
        <v>0</v>
      </c>
      <c r="AS9" s="55">
        <f t="shared" si="27"/>
        <v>0</v>
      </c>
      <c r="AT9" s="2"/>
      <c r="AU9" s="51">
        <f t="shared" si="14"/>
        <v>279.09449999999998</v>
      </c>
      <c r="AV9" s="50">
        <f t="shared" si="15"/>
        <v>-7.5571177504393683E-2</v>
      </c>
      <c r="AW9" s="50">
        <f t="shared" si="16"/>
        <v>0.64480400497718982</v>
      </c>
      <c r="AX9" s="69">
        <f t="shared" si="28"/>
        <v>-6.6845835853794027</v>
      </c>
      <c r="AY9" s="73">
        <f t="shared" si="29"/>
        <v>0.64921738093186043</v>
      </c>
      <c r="AZ9" s="527"/>
      <c r="BA9" s="58">
        <f t="shared" si="30"/>
        <v>0.40250839238000624</v>
      </c>
      <c r="BB9" s="57">
        <f t="shared" si="31"/>
        <v>0.50938217653122431</v>
      </c>
      <c r="BC9" s="53">
        <f t="shared" si="32"/>
        <v>-142.16576386789379</v>
      </c>
      <c r="BD9" s="55">
        <f t="shared" si="33"/>
        <v>112.33787851710164</v>
      </c>
      <c r="BE9" s="2"/>
      <c r="BF9" s="54">
        <f t="shared" si="34"/>
        <v>-142.16576386789379</v>
      </c>
      <c r="BG9" s="53">
        <f t="shared" si="34"/>
        <v>112.33787851710164</v>
      </c>
      <c r="BH9" s="57">
        <f t="shared" si="35"/>
        <v>0.29782480528507616</v>
      </c>
      <c r="BI9" s="129">
        <f t="shared" si="36"/>
        <v>0.37690306690021674</v>
      </c>
      <c r="BJ9" s="66" t="str">
        <f t="shared" si="17"/>
        <v>no</v>
      </c>
      <c r="BK9" s="2"/>
      <c r="BL9" s="70">
        <f t="shared" si="37"/>
        <v>181.19300032248714</v>
      </c>
      <c r="BM9" s="528">
        <f t="shared" si="38"/>
        <v>38.3154164146206</v>
      </c>
      <c r="BN9" s="121"/>
      <c r="BO9" s="577">
        <f t="shared" si="39"/>
        <v>0.18049988199095526</v>
      </c>
      <c r="BP9" s="578">
        <f t="shared" si="40"/>
        <v>0.19764188091254156</v>
      </c>
      <c r="BR9" s="507" t="str">
        <f t="shared" si="41"/>
        <v>NO-OK</v>
      </c>
      <c r="BS9" s="512" t="str">
        <f t="shared" si="42"/>
        <v>NO-OK</v>
      </c>
    </row>
    <row r="10" spans="1:71" ht="20.100000000000001" customHeight="1" x14ac:dyDescent="0.25">
      <c r="A10" s="200" t="s">
        <v>215</v>
      </c>
      <c r="B10" s="201">
        <f>+IF(G10&lt;0,+G10-B5,0)</f>
        <v>0</v>
      </c>
      <c r="C10" s="202">
        <f>+'Input Page'!E49</f>
        <v>-0.30069930069930073</v>
      </c>
      <c r="D10" s="202">
        <f>+'Input Page'!F49</f>
        <v>3.4671328671328676</v>
      </c>
      <c r="E10" s="203">
        <f t="shared" ref="E10:E15" si="44">+B10*D10*-1</f>
        <v>0</v>
      </c>
      <c r="F10" s="204">
        <f t="shared" ref="F10:F15" si="45">+B10*C10</f>
        <v>0</v>
      </c>
      <c r="G10" s="619">
        <v>0</v>
      </c>
      <c r="H10" s="206">
        <f>+'Input Page'!D49</f>
        <v>-29.4</v>
      </c>
      <c r="I10" s="858" t="s">
        <v>158</v>
      </c>
      <c r="J10" s="863" t="s">
        <v>29</v>
      </c>
      <c r="K10" s="176"/>
      <c r="L10" s="413">
        <f>+IF('Input Page'!$G$68="YES",Travelling!L9+15,0)</f>
        <v>60</v>
      </c>
      <c r="M10" s="9">
        <f t="shared" si="0"/>
        <v>70.640965615401896</v>
      </c>
      <c r="N10" s="9">
        <f t="shared" si="1"/>
        <v>78.594177191120906</v>
      </c>
      <c r="O10" s="9">
        <f t="shared" si="2"/>
        <v>29.702587660008295</v>
      </c>
      <c r="P10" s="9">
        <f t="shared" si="3"/>
        <v>126.47080609479065</v>
      </c>
      <c r="Q10" s="10">
        <f t="shared" si="4"/>
        <v>47.796291515687727</v>
      </c>
      <c r="R10" s="11">
        <f t="shared" si="18"/>
        <v>0.28697767461474821</v>
      </c>
      <c r="S10" s="12">
        <f t="shared" si="19"/>
        <v>3.8140000000000001</v>
      </c>
      <c r="T10" s="13">
        <f t="shared" si="20"/>
        <v>3.2400446507705034</v>
      </c>
      <c r="U10" s="14">
        <f t="shared" si="21"/>
        <v>102.56875782997393</v>
      </c>
      <c r="W10" s="549" t="str">
        <f t="shared" si="22"/>
        <v>Max @ Front</v>
      </c>
      <c r="X10" s="76">
        <f t="shared" si="23"/>
        <v>38.749439587848009</v>
      </c>
      <c r="Y10" s="76">
        <f t="shared" si="24"/>
        <v>102.53249164295578</v>
      </c>
      <c r="Z10" s="2"/>
      <c r="AA10" s="89">
        <f t="shared" si="5"/>
        <v>144.56535139977237</v>
      </c>
      <c r="AB10" s="90">
        <f t="shared" si="25"/>
        <v>0.28697767461474821</v>
      </c>
      <c r="AC10" s="91">
        <f t="shared" si="6"/>
        <v>3.8140000000000001</v>
      </c>
      <c r="AD10" s="92">
        <f t="shared" si="7"/>
        <v>3.2400446507705034</v>
      </c>
      <c r="AE10" s="43">
        <f t="shared" si="8"/>
        <v>63.740458182263367</v>
      </c>
      <c r="AF10" s="2"/>
      <c r="AG10" s="89">
        <f t="shared" si="9"/>
        <v>232.62914860022758</v>
      </c>
      <c r="AH10" s="90">
        <f t="shared" si="26"/>
        <v>0.28697767461474821</v>
      </c>
      <c r="AI10" s="91">
        <f t="shared" si="10"/>
        <v>3.8140000000000001</v>
      </c>
      <c r="AJ10" s="92">
        <f t="shared" si="11"/>
        <v>3.2400446507705034</v>
      </c>
      <c r="AK10" s="550">
        <f t="shared" si="12"/>
        <v>102.56875782997393</v>
      </c>
      <c r="AL10" s="42"/>
      <c r="AM10" s="525">
        <f t="shared" si="13"/>
        <v>60</v>
      </c>
      <c r="AN10" s="526"/>
      <c r="AO10" s="54">
        <f t="shared" si="43"/>
        <v>98.1</v>
      </c>
      <c r="AP10" s="75">
        <f t="shared" si="27"/>
        <v>0</v>
      </c>
      <c r="AQ10" s="75">
        <f t="shared" si="27"/>
        <v>0</v>
      </c>
      <c r="AR10" s="53">
        <f t="shared" si="27"/>
        <v>0</v>
      </c>
      <c r="AS10" s="55">
        <f t="shared" si="27"/>
        <v>0</v>
      </c>
      <c r="AT10" s="2"/>
      <c r="AU10" s="51">
        <f t="shared" si="14"/>
        <v>279.09449999999998</v>
      </c>
      <c r="AV10" s="50">
        <f t="shared" si="15"/>
        <v>-7.5571177504393683E-2</v>
      </c>
      <c r="AW10" s="50">
        <f t="shared" si="16"/>
        <v>0.64480400497718982</v>
      </c>
      <c r="AX10" s="69">
        <f t="shared" si="28"/>
        <v>-6.6845835853794027</v>
      </c>
      <c r="AY10" s="73">
        <f t="shared" si="29"/>
        <v>0.64921738093186043</v>
      </c>
      <c r="AZ10" s="527"/>
      <c r="BA10" s="58">
        <f t="shared" si="30"/>
        <v>0.52063106001999715</v>
      </c>
      <c r="BB10" s="57">
        <f t="shared" si="31"/>
        <v>0.38784856200130291</v>
      </c>
      <c r="BC10" s="53">
        <f t="shared" si="32"/>
        <v>-108.24640048747263</v>
      </c>
      <c r="BD10" s="55">
        <f t="shared" si="33"/>
        <v>145.30526538075108</v>
      </c>
      <c r="BE10" s="2"/>
      <c r="BF10" s="54">
        <f t="shared" si="34"/>
        <v>-108.24640048747263</v>
      </c>
      <c r="BG10" s="53">
        <f t="shared" si="34"/>
        <v>145.30526538075108</v>
      </c>
      <c r="BH10" s="57">
        <f t="shared" si="35"/>
        <v>0.38522636300569363</v>
      </c>
      <c r="BI10" s="129">
        <f t="shared" si="36"/>
        <v>0.28697767461474821</v>
      </c>
      <c r="BJ10" s="66" t="str">
        <f t="shared" si="17"/>
        <v>no</v>
      </c>
      <c r="BK10" s="2"/>
      <c r="BL10" s="70">
        <f t="shared" si="37"/>
        <v>181.19300032248711</v>
      </c>
      <c r="BM10" s="528">
        <f t="shared" si="38"/>
        <v>53.3154164146206</v>
      </c>
      <c r="BN10" s="121"/>
      <c r="BO10" s="577">
        <f t="shared" si="39"/>
        <v>0.23347052303375374</v>
      </c>
      <c r="BP10" s="578">
        <f t="shared" si="40"/>
        <v>0.15048645758508034</v>
      </c>
      <c r="BR10" s="507" t="str">
        <f t="shared" si="41"/>
        <v>NO-OK</v>
      </c>
      <c r="BS10" s="512" t="str">
        <f t="shared" si="42"/>
        <v>NO-OK</v>
      </c>
    </row>
    <row r="11" spans="1:71" ht="20.100000000000001" customHeight="1" thickBot="1" x14ac:dyDescent="0.3">
      <c r="A11" s="207" t="s">
        <v>93</v>
      </c>
      <c r="B11" s="208">
        <f t="shared" ref="B11:B15" si="46">+G11</f>
        <v>0</v>
      </c>
      <c r="C11" s="209">
        <f>+'Input Page'!E50</f>
        <v>0</v>
      </c>
      <c r="D11" s="209">
        <f>+'Input Page'!F50</f>
        <v>4</v>
      </c>
      <c r="E11" s="210">
        <f t="shared" si="44"/>
        <v>0</v>
      </c>
      <c r="F11" s="211">
        <f t="shared" si="45"/>
        <v>0</v>
      </c>
      <c r="G11" s="620">
        <v>0</v>
      </c>
      <c r="H11" s="213">
        <f>+'Input Page'!D50</f>
        <v>10</v>
      </c>
      <c r="I11" s="859"/>
      <c r="J11" s="864"/>
      <c r="K11" s="176"/>
      <c r="L11" s="413">
        <f>+IF('Input Page'!$G$68="YES",Travelling!L10+15,0)</f>
        <v>75</v>
      </c>
      <c r="M11" s="9">
        <f t="shared" si="0"/>
        <v>70.640965615401896</v>
      </c>
      <c r="N11" s="9">
        <f t="shared" si="1"/>
        <v>65.919108621887744</v>
      </c>
      <c r="O11" s="9">
        <f t="shared" si="2"/>
        <v>37.141746342391251</v>
      </c>
      <c r="P11" s="9">
        <f t="shared" si="3"/>
        <v>114.81253724581609</v>
      </c>
      <c r="Q11" s="10">
        <f t="shared" si="4"/>
        <v>64.690470251512494</v>
      </c>
      <c r="R11" s="11">
        <f t="shared" si="18"/>
        <v>0.17749522805731541</v>
      </c>
      <c r="S11" s="12">
        <f t="shared" si="19"/>
        <v>3.8140000000000001</v>
      </c>
      <c r="T11" s="13">
        <f t="shared" si="20"/>
        <v>3.4590095438853692</v>
      </c>
      <c r="U11" s="14">
        <f t="shared" si="21"/>
        <v>98.962500957109171</v>
      </c>
      <c r="W11" s="549" t="str">
        <f t="shared" si="22"/>
        <v>Max @ Front</v>
      </c>
      <c r="X11" s="76">
        <f t="shared" si="23"/>
        <v>50.916108296951869</v>
      </c>
      <c r="Y11" s="76">
        <f t="shared" si="24"/>
        <v>90.365822933851916</v>
      </c>
      <c r="Z11" s="2"/>
      <c r="AA11" s="89">
        <f t="shared" si="5"/>
        <v>137.57593529181602</v>
      </c>
      <c r="AB11" s="90">
        <f t="shared" si="25"/>
        <v>0.17749522805731541</v>
      </c>
      <c r="AC11" s="91">
        <f t="shared" si="6"/>
        <v>3.8140000000000001</v>
      </c>
      <c r="AD11" s="92">
        <f t="shared" si="7"/>
        <v>3.4590095438853692</v>
      </c>
      <c r="AE11" s="43">
        <f t="shared" si="8"/>
        <v>56.81888064295935</v>
      </c>
      <c r="AF11" s="2"/>
      <c r="AG11" s="89">
        <f t="shared" si="9"/>
        <v>239.61856470818392</v>
      </c>
      <c r="AH11" s="90">
        <f t="shared" si="26"/>
        <v>0.17749522805731541</v>
      </c>
      <c r="AI11" s="91">
        <f t="shared" si="10"/>
        <v>3.8140000000000001</v>
      </c>
      <c r="AJ11" s="92">
        <f t="shared" si="11"/>
        <v>3.4590095438853692</v>
      </c>
      <c r="AK11" s="550">
        <f t="shared" si="12"/>
        <v>98.962500957109171</v>
      </c>
      <c r="AL11" s="42"/>
      <c r="AM11" s="525">
        <f t="shared" si="13"/>
        <v>75</v>
      </c>
      <c r="AN11" s="526"/>
      <c r="AO11" s="54">
        <f t="shared" si="43"/>
        <v>98.1</v>
      </c>
      <c r="AP11" s="75">
        <f t="shared" si="27"/>
        <v>0</v>
      </c>
      <c r="AQ11" s="75">
        <f t="shared" si="27"/>
        <v>0</v>
      </c>
      <c r="AR11" s="53">
        <f t="shared" si="27"/>
        <v>0</v>
      </c>
      <c r="AS11" s="55">
        <f t="shared" si="27"/>
        <v>0</v>
      </c>
      <c r="AT11" s="2"/>
      <c r="AU11" s="51">
        <f t="shared" si="14"/>
        <v>279.09449999999998</v>
      </c>
      <c r="AV11" s="50">
        <f t="shared" si="15"/>
        <v>-7.5571177504393683E-2</v>
      </c>
      <c r="AW11" s="50">
        <f t="shared" si="16"/>
        <v>0.64480400497718982</v>
      </c>
      <c r="AX11" s="69">
        <f t="shared" si="28"/>
        <v>-6.6845835853794027</v>
      </c>
      <c r="AY11" s="73">
        <f t="shared" si="29"/>
        <v>0.64921738093186043</v>
      </c>
      <c r="AZ11" s="527"/>
      <c r="BA11" s="58">
        <f t="shared" si="30"/>
        <v>0.60327358130313224</v>
      </c>
      <c r="BB11" s="57">
        <f t="shared" si="31"/>
        <v>0.23988370892104666</v>
      </c>
      <c r="BC11" s="53">
        <f t="shared" si="32"/>
        <v>-66.95022379946505</v>
      </c>
      <c r="BD11" s="55">
        <f t="shared" si="33"/>
        <v>168.37033853700703</v>
      </c>
      <c r="BE11" s="2"/>
      <c r="BF11" s="54">
        <f t="shared" si="34"/>
        <v>-66.95022379946505</v>
      </c>
      <c r="BG11" s="53">
        <f t="shared" si="34"/>
        <v>168.37033853700703</v>
      </c>
      <c r="BH11" s="57">
        <f t="shared" si="35"/>
        <v>0.44637538070413818</v>
      </c>
      <c r="BI11" s="129">
        <f t="shared" si="36"/>
        <v>0.17749522805731541</v>
      </c>
      <c r="BJ11" s="66" t="str">
        <f t="shared" si="17"/>
        <v>no</v>
      </c>
      <c r="BK11" s="2"/>
      <c r="BL11" s="70">
        <f t="shared" si="37"/>
        <v>181.19300032248711</v>
      </c>
      <c r="BM11" s="528">
        <f t="shared" si="38"/>
        <v>68.3154164146206</v>
      </c>
      <c r="BN11" s="121"/>
      <c r="BO11" s="577">
        <f t="shared" si="39"/>
        <v>0.27053053376008374</v>
      </c>
      <c r="BP11" s="578">
        <f t="shared" si="40"/>
        <v>9.3075630863825587E-2</v>
      </c>
      <c r="BR11" s="507" t="str">
        <f t="shared" si="41"/>
        <v>NO-OK</v>
      </c>
      <c r="BS11" s="512" t="str">
        <f t="shared" si="42"/>
        <v>NO-OK</v>
      </c>
    </row>
    <row r="12" spans="1:71" ht="20.100000000000001" customHeight="1" x14ac:dyDescent="0.25">
      <c r="A12" s="214" t="s">
        <v>74</v>
      </c>
      <c r="B12" s="215">
        <f t="shared" si="46"/>
        <v>0</v>
      </c>
      <c r="C12" s="216">
        <f>+'Input Page'!E41</f>
        <v>0</v>
      </c>
      <c r="D12" s="216">
        <f>+'Input Page'!F41</f>
        <v>2.74</v>
      </c>
      <c r="E12" s="217">
        <f t="shared" si="44"/>
        <v>0</v>
      </c>
      <c r="F12" s="218">
        <f t="shared" si="45"/>
        <v>0</v>
      </c>
      <c r="G12" s="621">
        <v>0</v>
      </c>
      <c r="H12" s="220">
        <f>+'Input Page'!D41</f>
        <v>-450</v>
      </c>
      <c r="I12" s="221">
        <f>+IF(J12=0,-1E-24,G12/J12*-1)</f>
        <v>0</v>
      </c>
      <c r="J12" s="222">
        <f>+'Input Page'!C41</f>
        <v>1.5</v>
      </c>
      <c r="K12" s="176"/>
      <c r="L12" s="413">
        <f>+IF('Input Page'!$G$68="YES",Travelling!L11+15,0)</f>
        <v>90</v>
      </c>
      <c r="M12" s="9">
        <f t="shared" si="0"/>
        <v>70.640965615401896</v>
      </c>
      <c r="N12" s="9">
        <f t="shared" si="1"/>
        <v>54.631999313147816</v>
      </c>
      <c r="O12" s="9">
        <f t="shared" si="2"/>
        <v>45.797648948529627</v>
      </c>
      <c r="P12" s="9">
        <f t="shared" si="3"/>
        <v>99.077876277579463</v>
      </c>
      <c r="Q12" s="10">
        <f t="shared" si="4"/>
        <v>83.056337922350679</v>
      </c>
      <c r="R12" s="11">
        <f t="shared" si="18"/>
        <v>5.5916775032509712E-2</v>
      </c>
      <c r="S12" s="12">
        <f t="shared" si="19"/>
        <v>3.8140000000000001</v>
      </c>
      <c r="T12" s="13">
        <f t="shared" si="20"/>
        <v>3.7021664499349805</v>
      </c>
      <c r="U12" s="14">
        <f t="shared" si="21"/>
        <v>93.818025519994322</v>
      </c>
      <c r="V12" s="46"/>
      <c r="W12" s="549" t="str">
        <f t="shared" si="22"/>
        <v>Max @ Front</v>
      </c>
      <c r="X12" s="76">
        <f t="shared" si="23"/>
        <v>64.426993435440153</v>
      </c>
      <c r="Y12" s="76">
        <f t="shared" si="24"/>
        <v>76.854937795363639</v>
      </c>
      <c r="Z12" s="2"/>
      <c r="AA12" s="89">
        <f t="shared" si="5"/>
        <v>134.06353746451319</v>
      </c>
      <c r="AB12" s="90">
        <f t="shared" si="25"/>
        <v>5.5916775032509712E-2</v>
      </c>
      <c r="AC12" s="91">
        <f t="shared" si="6"/>
        <v>3.8140000000000001</v>
      </c>
      <c r="AD12" s="92">
        <f t="shared" si="7"/>
        <v>3.7021664499349805</v>
      </c>
      <c r="AE12" s="43">
        <f t="shared" si="8"/>
        <v>51.731693273375761</v>
      </c>
      <c r="AF12" s="2"/>
      <c r="AG12" s="89">
        <f t="shared" si="9"/>
        <v>243.13096253548676</v>
      </c>
      <c r="AH12" s="90">
        <f t="shared" si="26"/>
        <v>5.5916775032509712E-2</v>
      </c>
      <c r="AI12" s="91">
        <f t="shared" si="10"/>
        <v>3.8140000000000001</v>
      </c>
      <c r="AJ12" s="92">
        <f t="shared" si="11"/>
        <v>3.7021664499349805</v>
      </c>
      <c r="AK12" s="550">
        <f t="shared" si="12"/>
        <v>93.818025519994322</v>
      </c>
      <c r="AL12" s="42"/>
      <c r="AM12" s="521">
        <f t="shared" si="13"/>
        <v>90</v>
      </c>
      <c r="AN12" s="522"/>
      <c r="AO12" s="60">
        <f t="shared" si="43"/>
        <v>98.1</v>
      </c>
      <c r="AP12" s="74">
        <f t="shared" si="27"/>
        <v>0</v>
      </c>
      <c r="AQ12" s="74">
        <f t="shared" si="27"/>
        <v>0</v>
      </c>
      <c r="AR12" s="61">
        <f t="shared" si="27"/>
        <v>0</v>
      </c>
      <c r="AS12" s="62">
        <f t="shared" si="27"/>
        <v>0</v>
      </c>
      <c r="AT12" s="67"/>
      <c r="AU12" s="63">
        <f t="shared" si="14"/>
        <v>279.09449999999998</v>
      </c>
      <c r="AV12" s="64">
        <f t="shared" si="15"/>
        <v>-7.5571177504393683E-2</v>
      </c>
      <c r="AW12" s="64">
        <f t="shared" si="16"/>
        <v>0.64480400497718982</v>
      </c>
      <c r="AX12" s="68">
        <f t="shared" si="28"/>
        <v>-6.6845835853794027</v>
      </c>
      <c r="AY12" s="72">
        <f t="shared" si="29"/>
        <v>0.64921738093186043</v>
      </c>
      <c r="AZ12" s="523"/>
      <c r="BA12" s="65">
        <f t="shared" si="30"/>
        <v>0.64480400497718982</v>
      </c>
      <c r="BB12" s="66">
        <f t="shared" si="31"/>
        <v>7.5571177504393613E-2</v>
      </c>
      <c r="BC12" s="61">
        <f t="shared" si="32"/>
        <v>-21.091499999999982</v>
      </c>
      <c r="BD12" s="62">
        <f t="shared" si="33"/>
        <v>179.96125136710629</v>
      </c>
      <c r="BE12" s="67"/>
      <c r="BF12" s="60">
        <f t="shared" si="34"/>
        <v>-21.091499999999982</v>
      </c>
      <c r="BG12" s="61">
        <f t="shared" si="34"/>
        <v>179.96125136710629</v>
      </c>
      <c r="BH12" s="66">
        <f t="shared" si="35"/>
        <v>0.47710465387779066</v>
      </c>
      <c r="BI12" s="128">
        <f t="shared" si="36"/>
        <v>5.5916775032509712E-2</v>
      </c>
      <c r="BJ12" s="66" t="str">
        <f t="shared" si="17"/>
        <v>no</v>
      </c>
      <c r="BK12" s="2"/>
      <c r="BL12" s="71">
        <f t="shared" si="37"/>
        <v>181.19300032248711</v>
      </c>
      <c r="BM12" s="524">
        <f t="shared" si="38"/>
        <v>83.3154164146206</v>
      </c>
      <c r="BN12" s="120"/>
      <c r="BO12" s="577">
        <f t="shared" si="39"/>
        <v>0.28915433568350951</v>
      </c>
      <c r="BP12" s="578">
        <f t="shared" si="40"/>
        <v>2.9321853713953704E-2</v>
      </c>
      <c r="BR12" s="507" t="str">
        <f t="shared" si="41"/>
        <v>NO-OK</v>
      </c>
      <c r="BS12" s="512" t="str">
        <f t="shared" si="42"/>
        <v>NO-OK</v>
      </c>
    </row>
    <row r="13" spans="1:71" ht="20.100000000000001" customHeight="1" x14ac:dyDescent="0.25">
      <c r="A13" s="223" t="s">
        <v>75</v>
      </c>
      <c r="B13" s="224">
        <f t="shared" si="46"/>
        <v>0</v>
      </c>
      <c r="C13" s="225">
        <f>+'Input Page'!E42</f>
        <v>0</v>
      </c>
      <c r="D13" s="225">
        <f>+'Input Page'!F42</f>
        <v>0</v>
      </c>
      <c r="E13" s="226">
        <f t="shared" si="44"/>
        <v>0</v>
      </c>
      <c r="F13" s="227">
        <f t="shared" si="45"/>
        <v>0</v>
      </c>
      <c r="G13" s="619">
        <v>0</v>
      </c>
      <c r="H13" s="206">
        <f>+'Input Page'!D42</f>
        <v>0</v>
      </c>
      <c r="I13" s="221">
        <f t="shared" ref="I13:I15" si="47">+IF(J13=0,-1E-24,G13/J13*-1)</f>
        <v>-9.9999999999999992E-25</v>
      </c>
      <c r="J13" s="222">
        <f>+'Input Page'!C42</f>
        <v>0</v>
      </c>
      <c r="K13" s="176"/>
      <c r="L13" s="413">
        <f>+IF('Input Page'!$G$68="YES",Travelling!L12+15,0)</f>
        <v>105</v>
      </c>
      <c r="M13" s="9">
        <f t="shared" si="0"/>
        <v>70.640965615401896</v>
      </c>
      <c r="N13" s="9">
        <f t="shared" si="1"/>
        <v>55.787580971552281</v>
      </c>
      <c r="O13" s="9">
        <f t="shared" si="2"/>
        <v>44.794876160279919</v>
      </c>
      <c r="P13" s="9">
        <f t="shared" si="3"/>
        <v>100.93512004628423</v>
      </c>
      <c r="Q13" s="10">
        <f t="shared" si="4"/>
        <v>81.046285283491159</v>
      </c>
      <c r="R13" s="11">
        <f t="shared" si="18"/>
        <v>-6.9472313803921534E-2</v>
      </c>
      <c r="S13" s="12">
        <f t="shared" si="19"/>
        <v>3.8140000000000001</v>
      </c>
      <c r="T13" s="13">
        <f t="shared" si="20"/>
        <v>3.6750553723921571</v>
      </c>
      <c r="U13" s="84">
        <f t="shared" si="21"/>
        <v>94.430832953134072</v>
      </c>
      <c r="W13" s="549" t="str">
        <f t="shared" si="22"/>
        <v>Max @ Rear</v>
      </c>
      <c r="X13" s="76">
        <f t="shared" si="23"/>
        <v>62.920580721885543</v>
      </c>
      <c r="Y13" s="76">
        <f t="shared" si="24"/>
        <v>78.36135050891825</v>
      </c>
      <c r="Z13" s="2"/>
      <c r="AA13" s="89">
        <f t="shared" si="5"/>
        <v>134.2675220252828</v>
      </c>
      <c r="AB13" s="90">
        <f t="shared" si="25"/>
        <v>-6.9472313803921534E-2</v>
      </c>
      <c r="AC13" s="91">
        <f t="shared" si="6"/>
        <v>3.8140000000000001</v>
      </c>
      <c r="AD13" s="92">
        <f t="shared" si="7"/>
        <v>3.6750553723921571</v>
      </c>
      <c r="AE13" s="43">
        <f t="shared" si="8"/>
        <v>52.19261380150337</v>
      </c>
      <c r="AF13" s="2"/>
      <c r="AG13" s="89">
        <f t="shared" si="9"/>
        <v>242.92697797471715</v>
      </c>
      <c r="AH13" s="90">
        <f t="shared" si="26"/>
        <v>-6.9472313803921534E-2</v>
      </c>
      <c r="AI13" s="91">
        <f t="shared" si="10"/>
        <v>3.8140000000000001</v>
      </c>
      <c r="AJ13" s="92">
        <f t="shared" si="11"/>
        <v>3.6750553723921571</v>
      </c>
      <c r="AK13" s="550">
        <f t="shared" si="12"/>
        <v>94.430832953134072</v>
      </c>
      <c r="AL13" s="42"/>
      <c r="AM13" s="525">
        <f t="shared" si="13"/>
        <v>105</v>
      </c>
      <c r="AN13" s="526"/>
      <c r="AO13" s="54">
        <f t="shared" si="43"/>
        <v>98.1</v>
      </c>
      <c r="AP13" s="75">
        <f t="shared" si="27"/>
        <v>0</v>
      </c>
      <c r="AQ13" s="75">
        <f t="shared" si="27"/>
        <v>0</v>
      </c>
      <c r="AR13" s="53">
        <f t="shared" si="27"/>
        <v>0</v>
      </c>
      <c r="AS13" s="55">
        <f t="shared" si="27"/>
        <v>0</v>
      </c>
      <c r="AT13" s="2"/>
      <c r="AU13" s="51">
        <f t="shared" si="14"/>
        <v>279.09449999999998</v>
      </c>
      <c r="AV13" s="50">
        <f t="shared" si="15"/>
        <v>-7.5571177504393683E-2</v>
      </c>
      <c r="AW13" s="50">
        <f t="shared" si="16"/>
        <v>0.64480400497718982</v>
      </c>
      <c r="AX13" s="69">
        <f t="shared" si="28"/>
        <v>-6.6845835853794027</v>
      </c>
      <c r="AY13" s="73">
        <f t="shared" si="29"/>
        <v>0.64921738093186043</v>
      </c>
      <c r="AZ13" s="527"/>
      <c r="BA13" s="58">
        <f t="shared" si="30"/>
        <v>0.64239210130105284</v>
      </c>
      <c r="BB13" s="57">
        <f t="shared" si="31"/>
        <v>-9.3891404771908007E-2</v>
      </c>
      <c r="BC13" s="53">
        <f t="shared" si="32"/>
        <v>26.204574669113278</v>
      </c>
      <c r="BD13" s="55">
        <f t="shared" si="33"/>
        <v>179.28810231656669</v>
      </c>
      <c r="BE13" s="2"/>
      <c r="BF13" s="54">
        <f t="shared" si="34"/>
        <v>26.204574669113278</v>
      </c>
      <c r="BG13" s="53">
        <f t="shared" si="34"/>
        <v>179.28810231656669</v>
      </c>
      <c r="BH13" s="57">
        <f t="shared" si="35"/>
        <v>0.47532003334239159</v>
      </c>
      <c r="BI13" s="129">
        <f t="shared" si="36"/>
        <v>-6.9472313803921534E-2</v>
      </c>
      <c r="BJ13" s="66" t="str">
        <f t="shared" si="17"/>
        <v>no</v>
      </c>
      <c r="BK13" s="2"/>
      <c r="BL13" s="70">
        <f t="shared" si="37"/>
        <v>181.19300032248714</v>
      </c>
      <c r="BM13" s="528">
        <f t="shared" si="38"/>
        <v>-81.684583585379414</v>
      </c>
      <c r="BN13" s="121"/>
      <c r="BO13" s="577">
        <f t="shared" si="39"/>
        <v>0.28807274748023737</v>
      </c>
      <c r="BP13" s="578">
        <f t="shared" si="40"/>
        <v>3.643015930986971E-2</v>
      </c>
      <c r="BR13" s="507" t="str">
        <f t="shared" si="41"/>
        <v>NO-OK</v>
      </c>
      <c r="BS13" s="512" t="str">
        <f t="shared" si="42"/>
        <v>NO-OK</v>
      </c>
    </row>
    <row r="14" spans="1:71" ht="20.100000000000001" customHeight="1" x14ac:dyDescent="0.25">
      <c r="A14" s="228" t="s">
        <v>77</v>
      </c>
      <c r="B14" s="224">
        <f t="shared" si="46"/>
        <v>0</v>
      </c>
      <c r="C14" s="225">
        <f>+'Input Page'!E43</f>
        <v>0</v>
      </c>
      <c r="D14" s="225">
        <f>+'Input Page'!F43</f>
        <v>0</v>
      </c>
      <c r="E14" s="226">
        <f t="shared" si="44"/>
        <v>0</v>
      </c>
      <c r="F14" s="227">
        <f t="shared" si="45"/>
        <v>0</v>
      </c>
      <c r="G14" s="619">
        <v>0</v>
      </c>
      <c r="H14" s="206">
        <f>+'Input Page'!D43</f>
        <v>0</v>
      </c>
      <c r="I14" s="221">
        <f t="shared" si="47"/>
        <v>-9.9999999999999992E-25</v>
      </c>
      <c r="J14" s="222">
        <f>+'Input Page'!C43</f>
        <v>0</v>
      </c>
      <c r="K14" s="176"/>
      <c r="L14" s="413">
        <f>+IF('Input Page'!$G$68="YES",Travelling!L13+15,0)</f>
        <v>120</v>
      </c>
      <c r="M14" s="9">
        <f t="shared" si="0"/>
        <v>70.640965615401896</v>
      </c>
      <c r="N14" s="9">
        <f t="shared" si="1"/>
        <v>67.234110182081068</v>
      </c>
      <c r="O14" s="9">
        <f t="shared" si="2"/>
        <v>36.274757720689728</v>
      </c>
      <c r="P14" s="9">
        <f t="shared" si="3"/>
        <v>116.3050420388039</v>
      </c>
      <c r="Q14" s="10">
        <f t="shared" si="4"/>
        <v>62.74995252003287</v>
      </c>
      <c r="R14" s="11">
        <f t="shared" si="18"/>
        <v>-0.19012697926304242</v>
      </c>
      <c r="S14" s="12">
        <f t="shared" si="19"/>
        <v>3.8140000000000001</v>
      </c>
      <c r="T14" s="13">
        <f t="shared" si="20"/>
        <v>3.4337460414739152</v>
      </c>
      <c r="U14" s="14">
        <f t="shared" si="21"/>
        <v>99.441796364513024</v>
      </c>
      <c r="W14" s="549" t="str">
        <f t="shared" si="22"/>
        <v>Max @ Rear</v>
      </c>
      <c r="X14" s="76">
        <f t="shared" si="23"/>
        <v>49.512355120361299</v>
      </c>
      <c r="Y14" s="76">
        <f t="shared" si="24"/>
        <v>91.769576110442486</v>
      </c>
      <c r="Z14" s="2"/>
      <c r="AA14" s="89">
        <f t="shared" si="5"/>
        <v>138.17398776340872</v>
      </c>
      <c r="AB14" s="90">
        <f t="shared" si="25"/>
        <v>-0.19012697926304242</v>
      </c>
      <c r="AC14" s="91">
        <f t="shared" si="6"/>
        <v>3.8140000000000001</v>
      </c>
      <c r="AD14" s="92">
        <f t="shared" si="7"/>
        <v>3.4337460414739152</v>
      </c>
      <c r="AE14" s="43">
        <f t="shared" si="8"/>
        <v>57.485733862209223</v>
      </c>
      <c r="AF14" s="2"/>
      <c r="AG14" s="89">
        <f t="shared" si="9"/>
        <v>239.02051223659123</v>
      </c>
      <c r="AH14" s="90">
        <f t="shared" si="26"/>
        <v>-0.19012697926304242</v>
      </c>
      <c r="AI14" s="91">
        <f t="shared" si="10"/>
        <v>3.8140000000000001</v>
      </c>
      <c r="AJ14" s="92">
        <f t="shared" si="11"/>
        <v>3.4337460414739152</v>
      </c>
      <c r="AK14" s="550">
        <f t="shared" si="12"/>
        <v>99.441796364513024</v>
      </c>
      <c r="AL14" s="42"/>
      <c r="AM14" s="525">
        <f t="shared" si="13"/>
        <v>120</v>
      </c>
      <c r="AN14" s="526"/>
      <c r="AO14" s="54">
        <f t="shared" si="43"/>
        <v>98.1</v>
      </c>
      <c r="AP14" s="75">
        <f t="shared" si="27"/>
        <v>0</v>
      </c>
      <c r="AQ14" s="75">
        <f t="shared" si="27"/>
        <v>0</v>
      </c>
      <c r="AR14" s="53">
        <f t="shared" si="27"/>
        <v>0</v>
      </c>
      <c r="AS14" s="55">
        <f t="shared" si="27"/>
        <v>0</v>
      </c>
      <c r="AT14" s="2"/>
      <c r="AU14" s="51">
        <f t="shared" si="14"/>
        <v>279.09449999999998</v>
      </c>
      <c r="AV14" s="50">
        <f t="shared" si="15"/>
        <v>-7.5571177504393683E-2</v>
      </c>
      <c r="AW14" s="50">
        <f t="shared" si="16"/>
        <v>0.64480400497718982</v>
      </c>
      <c r="AX14" s="69">
        <f t="shared" si="28"/>
        <v>-6.6845835853794027</v>
      </c>
      <c r="AY14" s="73">
        <f t="shared" si="29"/>
        <v>0.64921738093186043</v>
      </c>
      <c r="AZ14" s="527"/>
      <c r="BA14" s="58">
        <f t="shared" si="30"/>
        <v>0.59620223752439083</v>
      </c>
      <c r="BB14" s="57">
        <f t="shared" si="31"/>
        <v>-0.25695544297588685</v>
      </c>
      <c r="BC14" s="53">
        <f t="shared" si="32"/>
        <v>71.714850879633644</v>
      </c>
      <c r="BD14" s="55">
        <f t="shared" si="33"/>
        <v>166.39676538075108</v>
      </c>
      <c r="BE14" s="2"/>
      <c r="BF14" s="54">
        <f t="shared" si="34"/>
        <v>71.714850879633644</v>
      </c>
      <c r="BG14" s="53">
        <f t="shared" si="34"/>
        <v>166.39676538075108</v>
      </c>
      <c r="BH14" s="57">
        <f t="shared" si="35"/>
        <v>0.44114313803820338</v>
      </c>
      <c r="BI14" s="129">
        <f t="shared" si="36"/>
        <v>-0.19012697926304242</v>
      </c>
      <c r="BJ14" s="66" t="str">
        <f t="shared" si="17"/>
        <v>no</v>
      </c>
      <c r="BK14" s="2"/>
      <c r="BL14" s="70">
        <f t="shared" si="37"/>
        <v>181.19300032248711</v>
      </c>
      <c r="BM14" s="528">
        <f t="shared" si="38"/>
        <v>-66.684583585379414</v>
      </c>
      <c r="BN14" s="121"/>
      <c r="BO14" s="577">
        <f t="shared" si="39"/>
        <v>0.26735947759891115</v>
      </c>
      <c r="BP14" s="578">
        <f t="shared" si="40"/>
        <v>9.9699517180410285E-2</v>
      </c>
      <c r="BR14" s="507" t="str">
        <f t="shared" si="41"/>
        <v>NO-OK</v>
      </c>
      <c r="BS14" s="512" t="str">
        <f t="shared" si="42"/>
        <v>NO-OK</v>
      </c>
    </row>
    <row r="15" spans="1:71" ht="20.100000000000001" customHeight="1" thickBot="1" x14ac:dyDescent="0.3">
      <c r="A15" s="229" t="s">
        <v>78</v>
      </c>
      <c r="B15" s="230">
        <f t="shared" si="46"/>
        <v>0</v>
      </c>
      <c r="C15" s="231">
        <f>+'Input Page'!E44</f>
        <v>0</v>
      </c>
      <c r="D15" s="231">
        <f>+'Input Page'!F44</f>
        <v>0</v>
      </c>
      <c r="E15" s="232">
        <f t="shared" si="44"/>
        <v>0</v>
      </c>
      <c r="F15" s="233">
        <f t="shared" si="45"/>
        <v>0</v>
      </c>
      <c r="G15" s="620">
        <v>0</v>
      </c>
      <c r="H15" s="213">
        <f>+'Input Page'!D44</f>
        <v>0</v>
      </c>
      <c r="I15" s="234">
        <f t="shared" si="47"/>
        <v>-9.9999999999999992E-25</v>
      </c>
      <c r="J15" s="235">
        <f>+'Input Page'!C44</f>
        <v>0</v>
      </c>
      <c r="K15" s="176"/>
      <c r="L15" s="413">
        <f>+IF('Input Page'!$G$68="YES",Travelling!L14+15,0)</f>
        <v>135</v>
      </c>
      <c r="M15" s="9">
        <f t="shared" si="0"/>
        <v>70.640965615401896</v>
      </c>
      <c r="N15" s="9">
        <f t="shared" si="1"/>
        <v>80.041472799713745</v>
      </c>
      <c r="O15" s="9">
        <f t="shared" si="2"/>
        <v>28.967977716862492</v>
      </c>
      <c r="P15" s="9">
        <f t="shared" si="3"/>
        <v>127.43437084710523</v>
      </c>
      <c r="Q15" s="10">
        <f t="shared" si="4"/>
        <v>46.120041097926133</v>
      </c>
      <c r="R15" s="11">
        <f t="shared" si="18"/>
        <v>-0.29782480528507604</v>
      </c>
      <c r="S15" s="12">
        <f t="shared" si="19"/>
        <v>3.8140000000000001</v>
      </c>
      <c r="T15" s="85">
        <f t="shared" si="20"/>
        <v>3.218350389429848</v>
      </c>
      <c r="U15" s="14">
        <f t="shared" si="21"/>
        <v>102.83785900571506</v>
      </c>
      <c r="W15" s="549" t="str">
        <f t="shared" si="22"/>
        <v>Max @ Rear</v>
      </c>
      <c r="X15" s="76">
        <f t="shared" si="23"/>
        <v>37.544009407394313</v>
      </c>
      <c r="Y15" s="76">
        <f t="shared" si="24"/>
        <v>103.73792182340948</v>
      </c>
      <c r="Z15" s="2"/>
      <c r="AA15" s="89">
        <f t="shared" si="5"/>
        <v>145.51671549457762</v>
      </c>
      <c r="AB15" s="90">
        <f t="shared" si="25"/>
        <v>-0.29782480528507604</v>
      </c>
      <c r="AC15" s="91">
        <f t="shared" si="6"/>
        <v>3.8140000000000001</v>
      </c>
      <c r="AD15" s="92">
        <f t="shared" si="7"/>
        <v>3.218350389429848</v>
      </c>
      <c r="AE15" s="43">
        <f t="shared" si="8"/>
        <v>64.592414430033003</v>
      </c>
      <c r="AF15" s="2"/>
      <c r="AG15" s="89">
        <f t="shared" si="9"/>
        <v>231.67778450542232</v>
      </c>
      <c r="AH15" s="90">
        <f t="shared" si="26"/>
        <v>-0.29782480528507604</v>
      </c>
      <c r="AI15" s="91">
        <f t="shared" si="10"/>
        <v>3.8140000000000001</v>
      </c>
      <c r="AJ15" s="92">
        <f t="shared" si="11"/>
        <v>3.218350389429848</v>
      </c>
      <c r="AK15" s="550">
        <f t="shared" si="12"/>
        <v>102.83785900571506</v>
      </c>
      <c r="AL15" s="42"/>
      <c r="AM15" s="525">
        <f t="shared" si="13"/>
        <v>135</v>
      </c>
      <c r="AN15" s="526"/>
      <c r="AO15" s="54">
        <f t="shared" si="43"/>
        <v>98.1</v>
      </c>
      <c r="AP15" s="75">
        <f t="shared" si="27"/>
        <v>0</v>
      </c>
      <c r="AQ15" s="75">
        <f t="shared" si="27"/>
        <v>0</v>
      </c>
      <c r="AR15" s="53">
        <f t="shared" si="27"/>
        <v>0</v>
      </c>
      <c r="AS15" s="55">
        <f t="shared" si="27"/>
        <v>0</v>
      </c>
      <c r="AT15" s="2"/>
      <c r="AU15" s="51">
        <f t="shared" si="14"/>
        <v>279.09449999999998</v>
      </c>
      <c r="AV15" s="50">
        <f t="shared" si="15"/>
        <v>-7.5571177504393683E-2</v>
      </c>
      <c r="AW15" s="50">
        <f t="shared" si="16"/>
        <v>0.64480400497718982</v>
      </c>
      <c r="AX15" s="69">
        <f t="shared" si="28"/>
        <v>-6.6845835853794027</v>
      </c>
      <c r="AY15" s="73">
        <f t="shared" si="29"/>
        <v>0.64921738093186043</v>
      </c>
      <c r="AZ15" s="527"/>
      <c r="BA15" s="58">
        <f t="shared" si="30"/>
        <v>0.50938217653122431</v>
      </c>
      <c r="BB15" s="57">
        <f t="shared" si="31"/>
        <v>-0.40250839238000607</v>
      </c>
      <c r="BC15" s="53">
        <f t="shared" si="32"/>
        <v>112.3378785171016</v>
      </c>
      <c r="BD15" s="55">
        <f t="shared" si="33"/>
        <v>142.16576386789379</v>
      </c>
      <c r="BE15" s="2"/>
      <c r="BF15" s="54">
        <f t="shared" si="34"/>
        <v>112.3378785171016</v>
      </c>
      <c r="BG15" s="53">
        <f t="shared" si="34"/>
        <v>142.16576386789379</v>
      </c>
      <c r="BH15" s="57">
        <f t="shared" si="35"/>
        <v>0.37690306690021674</v>
      </c>
      <c r="BI15" s="129">
        <f t="shared" si="36"/>
        <v>-0.29782480528507604</v>
      </c>
      <c r="BJ15" s="66" t="str">
        <f t="shared" si="17"/>
        <v>no</v>
      </c>
      <c r="BK15" s="2"/>
      <c r="BL15" s="70">
        <f t="shared" si="37"/>
        <v>181.19300032248711</v>
      </c>
      <c r="BM15" s="528">
        <f t="shared" si="38"/>
        <v>-51.684583585379414</v>
      </c>
      <c r="BN15" s="121"/>
      <c r="BO15" s="577">
        <f t="shared" si="39"/>
        <v>0.22842610115164652</v>
      </c>
      <c r="BP15" s="578">
        <f t="shared" si="40"/>
        <v>0.15617451771634822</v>
      </c>
      <c r="BR15" s="507" t="str">
        <f t="shared" si="41"/>
        <v>NO-OK</v>
      </c>
      <c r="BS15" s="512" t="str">
        <f t="shared" si="42"/>
        <v>NO-OK</v>
      </c>
    </row>
    <row r="16" spans="1:71" ht="20.100000000000001" customHeight="1" thickBot="1" x14ac:dyDescent="0.3">
      <c r="A16" s="236" t="s">
        <v>157</v>
      </c>
      <c r="B16" s="237">
        <f>+SUM(B4:B15)</f>
        <v>279.09449999999998</v>
      </c>
      <c r="C16" s="238">
        <f>+F16/B16</f>
        <v>-7.5571177504393683E-2</v>
      </c>
      <c r="D16" s="238">
        <f>+E16/B16*-1</f>
        <v>0.64480400497718982</v>
      </c>
      <c r="E16" s="237">
        <f>+SUM(E4:E15)</f>
        <v>-179.96125136710629</v>
      </c>
      <c r="F16" s="239">
        <f>+SUM(F4:F15)</f>
        <v>-21.0915</v>
      </c>
      <c r="G16" s="911" t="s">
        <v>160</v>
      </c>
      <c r="H16" s="912"/>
      <c r="I16" s="240">
        <f>+MAX(I12:I15)</f>
        <v>0</v>
      </c>
      <c r="J16" s="154"/>
      <c r="K16" s="176"/>
      <c r="L16" s="413">
        <f>+IF('Input Page'!$G$68="YES",Travelling!L15+15,0)</f>
        <v>150</v>
      </c>
      <c r="M16" s="9">
        <f t="shared" si="0"/>
        <v>70.640965615401896</v>
      </c>
      <c r="N16" s="9">
        <f t="shared" si="1"/>
        <v>93.7187424678376</v>
      </c>
      <c r="O16" s="9">
        <f t="shared" si="2"/>
        <v>22.99060689042263</v>
      </c>
      <c r="P16" s="9">
        <f t="shared" si="3"/>
        <v>133.18278686437631</v>
      </c>
      <c r="Q16" s="10">
        <f t="shared" si="4"/>
        <v>32.671726238971026</v>
      </c>
      <c r="R16" s="11">
        <f t="shared" si="18"/>
        <v>-0.38522636300569346</v>
      </c>
      <c r="S16" s="12">
        <f t="shared" si="19"/>
        <v>3.8140000000000001</v>
      </c>
      <c r="T16" s="13">
        <f t="shared" si="20"/>
        <v>3.0435472739886134</v>
      </c>
      <c r="U16" s="14">
        <f t="shared" si="21"/>
        <v>103.9197121040896</v>
      </c>
      <c r="W16" s="549" t="str">
        <f t="shared" si="22"/>
        <v>Max @ Rear</v>
      </c>
      <c r="X16" s="76">
        <f t="shared" si="23"/>
        <v>27.831166564696826</v>
      </c>
      <c r="Y16" s="76">
        <f t="shared" si="24"/>
        <v>113.45076466610696</v>
      </c>
      <c r="Z16" s="2"/>
      <c r="AA16" s="89">
        <f t="shared" si="5"/>
        <v>155.79531045834156</v>
      </c>
      <c r="AB16" s="90">
        <f t="shared" si="25"/>
        <v>-0.38522636300569346</v>
      </c>
      <c r="AC16" s="91">
        <f t="shared" si="6"/>
        <v>3.8140000000000001</v>
      </c>
      <c r="AD16" s="92">
        <f t="shared" si="7"/>
        <v>3.0435472739886134</v>
      </c>
      <c r="AE16" s="43">
        <f t="shared" si="8"/>
        <v>73.126752828296929</v>
      </c>
      <c r="AF16" s="2"/>
      <c r="AG16" s="89">
        <f t="shared" si="9"/>
        <v>221.39918954165839</v>
      </c>
      <c r="AH16" s="90">
        <f t="shared" si="26"/>
        <v>-0.38522636300569346</v>
      </c>
      <c r="AI16" s="91">
        <f t="shared" si="10"/>
        <v>3.8140000000000001</v>
      </c>
      <c r="AJ16" s="92">
        <f t="shared" si="11"/>
        <v>3.0435472739886134</v>
      </c>
      <c r="AK16" s="550">
        <f t="shared" si="12"/>
        <v>103.9197121040896</v>
      </c>
      <c r="AL16" s="42"/>
      <c r="AM16" s="525">
        <f t="shared" si="13"/>
        <v>150</v>
      </c>
      <c r="AN16" s="526"/>
      <c r="AO16" s="54">
        <f t="shared" si="43"/>
        <v>98.1</v>
      </c>
      <c r="AP16" s="75">
        <f t="shared" si="27"/>
        <v>0</v>
      </c>
      <c r="AQ16" s="75">
        <f t="shared" si="27"/>
        <v>0</v>
      </c>
      <c r="AR16" s="53">
        <f t="shared" si="27"/>
        <v>0</v>
      </c>
      <c r="AS16" s="55">
        <f t="shared" si="27"/>
        <v>0</v>
      </c>
      <c r="AT16" s="2"/>
      <c r="AU16" s="51">
        <f t="shared" si="14"/>
        <v>279.09449999999998</v>
      </c>
      <c r="AV16" s="50">
        <f t="shared" si="15"/>
        <v>-7.5571177504393683E-2</v>
      </c>
      <c r="AW16" s="50">
        <f t="shared" si="16"/>
        <v>0.64480400497718982</v>
      </c>
      <c r="AX16" s="69">
        <f t="shared" si="28"/>
        <v>-6.6845835853794027</v>
      </c>
      <c r="AY16" s="73">
        <f t="shared" si="29"/>
        <v>0.64921738093186043</v>
      </c>
      <c r="AZ16" s="527"/>
      <c r="BA16" s="58">
        <f t="shared" si="30"/>
        <v>0.38784856200130319</v>
      </c>
      <c r="BB16" s="57">
        <f t="shared" si="31"/>
        <v>-0.52063106001999693</v>
      </c>
      <c r="BC16" s="53">
        <f t="shared" si="32"/>
        <v>145.30526538075102</v>
      </c>
      <c r="BD16" s="55">
        <f t="shared" si="33"/>
        <v>108.24640048747271</v>
      </c>
      <c r="BE16" s="2"/>
      <c r="BF16" s="54">
        <f t="shared" si="34"/>
        <v>145.30526538075102</v>
      </c>
      <c r="BG16" s="53">
        <f t="shared" si="34"/>
        <v>108.24640048747271</v>
      </c>
      <c r="BH16" s="57">
        <f t="shared" si="35"/>
        <v>0.28697767461474843</v>
      </c>
      <c r="BI16" s="129">
        <f t="shared" si="36"/>
        <v>-0.38522636300569346</v>
      </c>
      <c r="BJ16" s="66" t="str">
        <f t="shared" si="17"/>
        <v>no</v>
      </c>
      <c r="BK16" s="2"/>
      <c r="BL16" s="70">
        <f t="shared" si="37"/>
        <v>181.19300032248711</v>
      </c>
      <c r="BM16" s="528">
        <f t="shared" si="38"/>
        <v>-36.684583585379436</v>
      </c>
      <c r="BN16" s="121"/>
      <c r="BO16" s="577">
        <f t="shared" si="39"/>
        <v>0.17392586340287786</v>
      </c>
      <c r="BP16" s="578">
        <f t="shared" si="40"/>
        <v>0.20200648296051046</v>
      </c>
      <c r="BR16" s="507" t="str">
        <f t="shared" si="41"/>
        <v>NO-OK</v>
      </c>
      <c r="BS16" s="512" t="str">
        <f t="shared" si="42"/>
        <v>NO-OK</v>
      </c>
    </row>
    <row r="17" spans="1:71" ht="20.100000000000001" customHeight="1" thickBot="1" x14ac:dyDescent="0.3">
      <c r="A17" s="158"/>
      <c r="B17" s="154"/>
      <c r="C17" s="154"/>
      <c r="D17" s="155"/>
      <c r="E17" s="155"/>
      <c r="F17" s="155"/>
      <c r="G17" s="155"/>
      <c r="H17" s="155"/>
      <c r="I17" s="154"/>
      <c r="J17" s="154"/>
      <c r="K17" s="182"/>
      <c r="L17" s="413">
        <f>+IF('Input Page'!$G$68="YES",Travelling!L16+15,0)</f>
        <v>165</v>
      </c>
      <c r="M17" s="9">
        <f t="shared" si="0"/>
        <v>70.640965615401896</v>
      </c>
      <c r="N17" s="9">
        <f t="shared" si="1"/>
        <v>107.31096317915645</v>
      </c>
      <c r="O17" s="9">
        <f t="shared" si="2"/>
        <v>18.772865867290093</v>
      </c>
      <c r="P17" s="9">
        <f t="shared" si="3"/>
        <v>133.18141772091727</v>
      </c>
      <c r="Q17" s="10">
        <f t="shared" si="4"/>
        <v>23.298615694243786</v>
      </c>
      <c r="R17" s="11">
        <f t="shared" si="18"/>
        <v>-0.44637538070413818</v>
      </c>
      <c r="S17" s="12">
        <f t="shared" si="19"/>
        <v>3.8140000000000001</v>
      </c>
      <c r="T17" s="13">
        <f t="shared" si="20"/>
        <v>2.9212492385917237</v>
      </c>
      <c r="U17" s="14">
        <f t="shared" si="21"/>
        <v>102.1506209674079</v>
      </c>
      <c r="W17" s="549" t="str">
        <f t="shared" si="22"/>
        <v>Max @ Rear</v>
      </c>
      <c r="X17" s="76">
        <f t="shared" si="23"/>
        <v>21.03574078076694</v>
      </c>
      <c r="Y17" s="76">
        <f t="shared" si="24"/>
        <v>120.24619045003685</v>
      </c>
      <c r="Z17" s="2"/>
      <c r="AA17" s="89">
        <f t="shared" si="5"/>
        <v>168.30930339410148</v>
      </c>
      <c r="AB17" s="90">
        <f t="shared" si="25"/>
        <v>-0.44637538070413818</v>
      </c>
      <c r="AC17" s="91">
        <f t="shared" si="6"/>
        <v>3.8140000000000001</v>
      </c>
      <c r="AD17" s="92">
        <f t="shared" si="7"/>
        <v>2.9212492385917237</v>
      </c>
      <c r="AE17" s="43">
        <f t="shared" si="8"/>
        <v>82.307890341970889</v>
      </c>
      <c r="AF17" s="2"/>
      <c r="AG17" s="89">
        <f t="shared" si="9"/>
        <v>208.88519660589847</v>
      </c>
      <c r="AH17" s="90">
        <f t="shared" si="26"/>
        <v>-0.44637538070413818</v>
      </c>
      <c r="AI17" s="91">
        <f t="shared" si="10"/>
        <v>3.8140000000000001</v>
      </c>
      <c r="AJ17" s="92">
        <f t="shared" si="11"/>
        <v>2.9212492385917237</v>
      </c>
      <c r="AK17" s="550">
        <f t="shared" si="12"/>
        <v>102.1506209674079</v>
      </c>
      <c r="AL17" s="42"/>
      <c r="AM17" s="525">
        <f t="shared" si="13"/>
        <v>165</v>
      </c>
      <c r="AN17" s="526"/>
      <c r="AO17" s="54">
        <f t="shared" si="43"/>
        <v>98.1</v>
      </c>
      <c r="AP17" s="75">
        <f t="shared" si="27"/>
        <v>0</v>
      </c>
      <c r="AQ17" s="75">
        <f t="shared" si="27"/>
        <v>0</v>
      </c>
      <c r="AR17" s="53">
        <f t="shared" si="27"/>
        <v>0</v>
      </c>
      <c r="AS17" s="55">
        <f t="shared" si="27"/>
        <v>0</v>
      </c>
      <c r="AT17" s="2"/>
      <c r="AU17" s="51">
        <f t="shared" si="14"/>
        <v>279.09449999999998</v>
      </c>
      <c r="AV17" s="50">
        <f t="shared" si="15"/>
        <v>-7.5571177504393683E-2</v>
      </c>
      <c r="AW17" s="50">
        <f t="shared" si="16"/>
        <v>0.64480400497718982</v>
      </c>
      <c r="AX17" s="69">
        <f t="shared" si="28"/>
        <v>-6.6845835853794027</v>
      </c>
      <c r="AY17" s="73">
        <f t="shared" si="29"/>
        <v>0.64921738093186043</v>
      </c>
      <c r="AZ17" s="527"/>
      <c r="BA17" s="58">
        <f t="shared" si="30"/>
        <v>0.2398837089210468</v>
      </c>
      <c r="BB17" s="57">
        <f t="shared" si="31"/>
        <v>-0.60327358130313224</v>
      </c>
      <c r="BC17" s="53">
        <f t="shared" si="32"/>
        <v>168.37033853700703</v>
      </c>
      <c r="BD17" s="55">
        <f t="shared" si="33"/>
        <v>66.950223799465093</v>
      </c>
      <c r="BE17" s="2"/>
      <c r="BF17" s="54">
        <f t="shared" si="34"/>
        <v>168.37033853700703</v>
      </c>
      <c r="BG17" s="53">
        <f t="shared" si="34"/>
        <v>66.950223799465093</v>
      </c>
      <c r="BH17" s="57">
        <f t="shared" si="35"/>
        <v>0.17749522805731552</v>
      </c>
      <c r="BI17" s="129">
        <f t="shared" si="36"/>
        <v>-0.44637538070413818</v>
      </c>
      <c r="BJ17" s="66" t="str">
        <f t="shared" si="17"/>
        <v>no</v>
      </c>
      <c r="BK17" s="2"/>
      <c r="BL17" s="70">
        <f t="shared" si="37"/>
        <v>181.19300032248714</v>
      </c>
      <c r="BM17" s="528">
        <f t="shared" si="38"/>
        <v>-21.684583585379421</v>
      </c>
      <c r="BN17" s="121"/>
      <c r="BO17" s="577">
        <f t="shared" si="39"/>
        <v>0.10757286548928213</v>
      </c>
      <c r="BP17" s="578">
        <f t="shared" si="40"/>
        <v>0.23407204022241121</v>
      </c>
      <c r="BR17" s="507" t="str">
        <f t="shared" si="41"/>
        <v>NO-OK</v>
      </c>
      <c r="BS17" s="512" t="str">
        <f t="shared" si="42"/>
        <v>NO-OK</v>
      </c>
    </row>
    <row r="18" spans="1:71" ht="20.100000000000001" customHeight="1" thickBot="1" x14ac:dyDescent="0.3">
      <c r="A18" s="844" t="s">
        <v>154</v>
      </c>
      <c r="B18" s="845"/>
      <c r="C18" s="845"/>
      <c r="D18" s="845"/>
      <c r="E18" s="845"/>
      <c r="F18" s="845"/>
      <c r="G18" s="817" t="s">
        <v>90</v>
      </c>
      <c r="H18" s="861" t="s">
        <v>89</v>
      </c>
      <c r="I18" s="858" t="s">
        <v>158</v>
      </c>
      <c r="J18" s="863" t="s">
        <v>29</v>
      </c>
      <c r="K18" s="241"/>
      <c r="L18" s="413">
        <f>+IF('Input Page'!$G$68="YES",Travelling!L17+15,0)</f>
        <v>180</v>
      </c>
      <c r="M18" s="9">
        <f t="shared" si="0"/>
        <v>70.640965615401896</v>
      </c>
      <c r="N18" s="9">
        <f t="shared" si="1"/>
        <v>119.47035666616455</v>
      </c>
      <c r="O18" s="9">
        <f t="shared" si="2"/>
        <v>17.023677616280853</v>
      </c>
      <c r="P18" s="9">
        <f t="shared" si="3"/>
        <v>127.85184760982825</v>
      </c>
      <c r="Q18" s="10">
        <f t="shared" si="4"/>
        <v>18.217980569333964</v>
      </c>
      <c r="R18" s="11">
        <f t="shared" si="18"/>
        <v>-0.47710465387779066</v>
      </c>
      <c r="S18" s="12">
        <f t="shared" si="19"/>
        <v>3.8140000000000001</v>
      </c>
      <c r="T18" s="13">
        <f t="shared" si="20"/>
        <v>2.8597906922444185</v>
      </c>
      <c r="U18" s="14">
        <f t="shared" si="21"/>
        <v>97.404038377034851</v>
      </c>
      <c r="W18" s="549" t="str">
        <f t="shared" si="22"/>
        <v>Max @ Rear</v>
      </c>
      <c r="X18" s="76">
        <f t="shared" si="23"/>
        <v>17.620829092807409</v>
      </c>
      <c r="Y18" s="76">
        <f t="shared" si="24"/>
        <v>123.66110213799639</v>
      </c>
      <c r="Z18" s="2"/>
      <c r="AA18" s="89">
        <f t="shared" si="5"/>
        <v>182.20588636363632</v>
      </c>
      <c r="AB18" s="90">
        <f t="shared" si="25"/>
        <v>-0.47710465387779066</v>
      </c>
      <c r="AC18" s="91">
        <f t="shared" si="6"/>
        <v>3.8140000000000001</v>
      </c>
      <c r="AD18" s="92">
        <f t="shared" si="7"/>
        <v>2.8597906922444185</v>
      </c>
      <c r="AE18" s="43">
        <f t="shared" si="8"/>
        <v>91.018592403466968</v>
      </c>
      <c r="AF18" s="2"/>
      <c r="AG18" s="89">
        <f t="shared" si="9"/>
        <v>194.98861363636362</v>
      </c>
      <c r="AH18" s="90">
        <f t="shared" si="26"/>
        <v>-0.47710465387779066</v>
      </c>
      <c r="AI18" s="91">
        <f t="shared" si="10"/>
        <v>3.8140000000000001</v>
      </c>
      <c r="AJ18" s="92">
        <f t="shared" si="11"/>
        <v>2.8597906922444185</v>
      </c>
      <c r="AK18" s="550">
        <f t="shared" si="12"/>
        <v>97.404038377034851</v>
      </c>
      <c r="AL18" s="42"/>
      <c r="AM18" s="521">
        <f t="shared" si="13"/>
        <v>180</v>
      </c>
      <c r="AN18" s="522"/>
      <c r="AO18" s="60">
        <f t="shared" si="43"/>
        <v>98.1</v>
      </c>
      <c r="AP18" s="74">
        <f t="shared" si="27"/>
        <v>0</v>
      </c>
      <c r="AQ18" s="74">
        <f t="shared" si="27"/>
        <v>0</v>
      </c>
      <c r="AR18" s="61">
        <f t="shared" si="27"/>
        <v>0</v>
      </c>
      <c r="AS18" s="62">
        <f t="shared" si="27"/>
        <v>0</v>
      </c>
      <c r="AT18" s="67"/>
      <c r="AU18" s="63">
        <f t="shared" si="14"/>
        <v>279.09449999999998</v>
      </c>
      <c r="AV18" s="64">
        <f t="shared" si="15"/>
        <v>-7.5571177504393683E-2</v>
      </c>
      <c r="AW18" s="64">
        <f t="shared" si="16"/>
        <v>0.64480400497718982</v>
      </c>
      <c r="AX18" s="68">
        <f t="shared" si="28"/>
        <v>-6.6845835853794027</v>
      </c>
      <c r="AY18" s="72">
        <f t="shared" si="29"/>
        <v>0.64921738093186043</v>
      </c>
      <c r="AZ18" s="523"/>
      <c r="BA18" s="65">
        <f t="shared" si="30"/>
        <v>7.5571177504393794E-2</v>
      </c>
      <c r="BB18" s="66">
        <f t="shared" si="31"/>
        <v>-0.64480400497718982</v>
      </c>
      <c r="BC18" s="61">
        <f t="shared" si="32"/>
        <v>179.96125136710629</v>
      </c>
      <c r="BD18" s="62">
        <f t="shared" si="33"/>
        <v>21.091500000000032</v>
      </c>
      <c r="BE18" s="67"/>
      <c r="BF18" s="60">
        <f t="shared" si="34"/>
        <v>179.96125136710629</v>
      </c>
      <c r="BG18" s="61">
        <f t="shared" si="34"/>
        <v>21.091500000000032</v>
      </c>
      <c r="BH18" s="66">
        <f t="shared" si="35"/>
        <v>5.5916775032509844E-2</v>
      </c>
      <c r="BI18" s="128">
        <f t="shared" si="36"/>
        <v>-0.47710465387779066</v>
      </c>
      <c r="BJ18" s="66" t="str">
        <f t="shared" si="17"/>
        <v>no</v>
      </c>
      <c r="BK18" s="2"/>
      <c r="BL18" s="71">
        <f t="shared" si="37"/>
        <v>181.19300032248714</v>
      </c>
      <c r="BM18" s="524">
        <f t="shared" si="38"/>
        <v>-6.6845835853794124</v>
      </c>
      <c r="BN18" s="120"/>
      <c r="BO18" s="577">
        <f t="shared" si="39"/>
        <v>3.3888954565157482E-2</v>
      </c>
      <c r="BP18" s="578">
        <f t="shared" si="40"/>
        <v>0.25018597476549065</v>
      </c>
      <c r="BR18" s="507" t="str">
        <f t="shared" si="41"/>
        <v>NO-OK</v>
      </c>
      <c r="BS18" s="512" t="str">
        <f t="shared" si="42"/>
        <v>NO-OK</v>
      </c>
    </row>
    <row r="19" spans="1:71" ht="19.5" customHeight="1" thickBot="1" x14ac:dyDescent="0.3">
      <c r="A19" s="242" t="s">
        <v>155</v>
      </c>
      <c r="B19" s="194">
        <f>+'Input Page'!D57</f>
        <v>98.1</v>
      </c>
      <c r="C19" s="195">
        <f>+'Input Page'!E57</f>
        <v>9.9999999999999992E-25</v>
      </c>
      <c r="D19" s="195">
        <f>+'Input Page'!F57</f>
        <v>-9.9999999999999992E-25</v>
      </c>
      <c r="E19" s="194">
        <f>+'Input Page'!G57</f>
        <v>0</v>
      </c>
      <c r="F19" s="243">
        <f>+'Input Page'!H57</f>
        <v>0</v>
      </c>
      <c r="G19" s="860"/>
      <c r="H19" s="862"/>
      <c r="I19" s="859"/>
      <c r="J19" s="864"/>
      <c r="K19" s="241"/>
      <c r="L19" s="413">
        <f>+IF('Input Page'!$G$68="YES",Travelling!L18+15,0)</f>
        <v>195</v>
      </c>
      <c r="M19" s="9">
        <f t="shared" si="0"/>
        <v>70.640965615401896</v>
      </c>
      <c r="N19" s="9">
        <f t="shared" si="1"/>
        <v>128.66110940588834</v>
      </c>
      <c r="O19" s="9">
        <f t="shared" si="2"/>
        <v>18.569417377212705</v>
      </c>
      <c r="P19" s="9">
        <f t="shared" si="3"/>
        <v>118.26444887783073</v>
      </c>
      <c r="Q19" s="10">
        <f t="shared" si="4"/>
        <v>17.068886800675809</v>
      </c>
      <c r="R19" s="11">
        <f t="shared" si="18"/>
        <v>-0.47532003334239159</v>
      </c>
      <c r="S19" s="12">
        <f t="shared" si="19"/>
        <v>3.8140000000000001</v>
      </c>
      <c r="T19" s="13">
        <f t="shared" si="20"/>
        <v>2.8633599333152171</v>
      </c>
      <c r="U19" s="14">
        <f t="shared" si="21"/>
        <v>98.055648299268455</v>
      </c>
      <c r="W19" s="549" t="str">
        <f t="shared" si="22"/>
        <v>Max @ Rear</v>
      </c>
      <c r="X19" s="76">
        <f t="shared" si="23"/>
        <v>17.819152088944257</v>
      </c>
      <c r="Y19" s="76">
        <f t="shared" si="24"/>
        <v>123.46277914185953</v>
      </c>
      <c r="Z19" s="2"/>
      <c r="AA19" s="89">
        <f t="shared" si="5"/>
        <v>196.53803020276158</v>
      </c>
      <c r="AB19" s="90">
        <f t="shared" si="25"/>
        <v>-0.47532003334239159</v>
      </c>
      <c r="AC19" s="91">
        <f t="shared" si="6"/>
        <v>3.8140000000000001</v>
      </c>
      <c r="AD19" s="92">
        <f t="shared" si="7"/>
        <v>2.8633599333152171</v>
      </c>
      <c r="AE19" s="43">
        <f t="shared" si="8"/>
        <v>98.055648299268455</v>
      </c>
      <c r="AF19" s="2"/>
      <c r="AG19" s="89">
        <f t="shared" si="9"/>
        <v>180.65646979723837</v>
      </c>
      <c r="AH19" s="90">
        <f t="shared" si="26"/>
        <v>-0.47532003334239159</v>
      </c>
      <c r="AI19" s="91">
        <f t="shared" si="10"/>
        <v>3.8140000000000001</v>
      </c>
      <c r="AJ19" s="92">
        <f t="shared" si="11"/>
        <v>2.8633599333152171</v>
      </c>
      <c r="AK19" s="550">
        <f t="shared" si="12"/>
        <v>90.132109531931761</v>
      </c>
      <c r="AL19" s="42"/>
      <c r="AM19" s="525">
        <f t="shared" si="13"/>
        <v>195</v>
      </c>
      <c r="AN19" s="526"/>
      <c r="AO19" s="54">
        <f t="shared" si="43"/>
        <v>98.1</v>
      </c>
      <c r="AP19" s="75">
        <f t="shared" si="27"/>
        <v>0</v>
      </c>
      <c r="AQ19" s="75">
        <f t="shared" si="27"/>
        <v>0</v>
      </c>
      <c r="AR19" s="53">
        <f t="shared" si="27"/>
        <v>0</v>
      </c>
      <c r="AS19" s="55">
        <f t="shared" si="27"/>
        <v>0</v>
      </c>
      <c r="AT19" s="2"/>
      <c r="AU19" s="51">
        <f t="shared" si="14"/>
        <v>279.09449999999998</v>
      </c>
      <c r="AV19" s="50">
        <f t="shared" si="15"/>
        <v>-7.5571177504393683E-2</v>
      </c>
      <c r="AW19" s="50">
        <f t="shared" si="16"/>
        <v>0.64480400497718982</v>
      </c>
      <c r="AX19" s="69">
        <f t="shared" si="28"/>
        <v>-6.6845835853794027</v>
      </c>
      <c r="AY19" s="73">
        <f t="shared" si="29"/>
        <v>0.64921738093186043</v>
      </c>
      <c r="AZ19" s="527"/>
      <c r="BA19" s="58">
        <f t="shared" si="30"/>
        <v>-9.3891404771907966E-2</v>
      </c>
      <c r="BB19" s="57">
        <f t="shared" si="31"/>
        <v>-0.64239210130105284</v>
      </c>
      <c r="BC19" s="53">
        <f t="shared" si="32"/>
        <v>179.28810231656669</v>
      </c>
      <c r="BD19" s="55">
        <f t="shared" si="33"/>
        <v>-26.204574669113267</v>
      </c>
      <c r="BE19" s="2"/>
      <c r="BF19" s="54">
        <f t="shared" si="34"/>
        <v>179.28810231656669</v>
      </c>
      <c r="BG19" s="53">
        <f t="shared" si="34"/>
        <v>-26.204574669113267</v>
      </c>
      <c r="BH19" s="57">
        <f t="shared" si="35"/>
        <v>-6.9472313803921507E-2</v>
      </c>
      <c r="BI19" s="129">
        <f t="shared" si="36"/>
        <v>-0.47532003334239159</v>
      </c>
      <c r="BJ19" s="66" t="str">
        <f t="shared" si="17"/>
        <v>no</v>
      </c>
      <c r="BK19" s="2"/>
      <c r="BL19" s="70">
        <f t="shared" si="37"/>
        <v>181.19300032248714</v>
      </c>
      <c r="BM19" s="528">
        <f t="shared" si="38"/>
        <v>8.3154164146205947</v>
      </c>
      <c r="BN19" s="121"/>
      <c r="BO19" s="577">
        <f t="shared" si="39"/>
        <v>4.2104432608437277E-2</v>
      </c>
      <c r="BP19" s="578">
        <f t="shared" si="40"/>
        <v>0.24925014858017389</v>
      </c>
      <c r="BR19" s="507" t="str">
        <f t="shared" si="41"/>
        <v>NO-OK</v>
      </c>
      <c r="BS19" s="512" t="str">
        <f t="shared" si="42"/>
        <v>NO-OK</v>
      </c>
    </row>
    <row r="20" spans="1:71" ht="19.5" customHeight="1" x14ac:dyDescent="0.25">
      <c r="A20" s="244" t="s">
        <v>74</v>
      </c>
      <c r="B20" s="245">
        <f>+G20</f>
        <v>0</v>
      </c>
      <c r="C20" s="246">
        <f>+'Input Page'!E62</f>
        <v>0</v>
      </c>
      <c r="D20" s="246">
        <f>+'Input Page'!F62</f>
        <v>0</v>
      </c>
      <c r="E20" s="245">
        <f>+B20*D20*-1</f>
        <v>0</v>
      </c>
      <c r="F20" s="247">
        <f>+B20*C20</f>
        <v>0</v>
      </c>
      <c r="G20" s="622">
        <v>0</v>
      </c>
      <c r="H20" s="249">
        <f>+'Input Page'!D62</f>
        <v>0</v>
      </c>
      <c r="I20" s="221">
        <f>+IF(J20=0,-1E-24,G20/J20*-1)</f>
        <v>-9.9999999999999992E-25</v>
      </c>
      <c r="J20" s="222">
        <f>+'Input Page'!C62</f>
        <v>0</v>
      </c>
      <c r="K20" s="241"/>
      <c r="L20" s="413">
        <f>+IF('Input Page'!$G$68="YES",Travelling!L19+15,0)</f>
        <v>210</v>
      </c>
      <c r="M20" s="9">
        <f t="shared" si="0"/>
        <v>70.640965615401896</v>
      </c>
      <c r="N20" s="9">
        <f t="shared" si="1"/>
        <v>133.45352165870503</v>
      </c>
      <c r="O20" s="9">
        <f t="shared" si="2"/>
        <v>24.108110668681523</v>
      </c>
      <c r="P20" s="9">
        <f t="shared" si="3"/>
        <v>105.87595203343243</v>
      </c>
      <c r="Q20" s="10">
        <f t="shared" si="4"/>
        <v>19.126278100788586</v>
      </c>
      <c r="R20" s="11">
        <f t="shared" si="18"/>
        <v>-0.44114313803820343</v>
      </c>
      <c r="S20" s="12">
        <f t="shared" si="19"/>
        <v>3.8140000000000001</v>
      </c>
      <c r="T20" s="13">
        <f t="shared" si="20"/>
        <v>2.9317137239235933</v>
      </c>
      <c r="U20" s="14">
        <f t="shared" si="21"/>
        <v>102.48955428233245</v>
      </c>
      <c r="W20" s="549" t="str">
        <f t="shared" si="22"/>
        <v>Max @ Rear</v>
      </c>
      <c r="X20" s="76">
        <f t="shared" si="23"/>
        <v>21.617194384735054</v>
      </c>
      <c r="Y20" s="76">
        <f t="shared" si="24"/>
        <v>119.66473684606873</v>
      </c>
      <c r="Z20" s="2"/>
      <c r="AA20" s="89">
        <f t="shared" si="5"/>
        <v>210.32902299382835</v>
      </c>
      <c r="AB20" s="90">
        <f t="shared" si="25"/>
        <v>-0.44114313803820343</v>
      </c>
      <c r="AC20" s="91">
        <f t="shared" si="6"/>
        <v>3.8140000000000001</v>
      </c>
      <c r="AD20" s="92">
        <f t="shared" si="7"/>
        <v>2.9317137239235933</v>
      </c>
      <c r="AE20" s="43">
        <f t="shared" si="8"/>
        <v>102.48955428233245</v>
      </c>
      <c r="AF20" s="2"/>
      <c r="AG20" s="89">
        <f t="shared" si="9"/>
        <v>166.8654770061716</v>
      </c>
      <c r="AH20" s="90">
        <f t="shared" si="26"/>
        <v>-0.44114313803820343</v>
      </c>
      <c r="AI20" s="91">
        <f t="shared" si="10"/>
        <v>3.8140000000000001</v>
      </c>
      <c r="AJ20" s="92">
        <f t="shared" si="11"/>
        <v>2.9317137239235933</v>
      </c>
      <c r="AK20" s="550">
        <f t="shared" si="12"/>
        <v>81.310549157893206</v>
      </c>
      <c r="AL20" s="42"/>
      <c r="AM20" s="525">
        <f t="shared" si="13"/>
        <v>210</v>
      </c>
      <c r="AN20" s="526"/>
      <c r="AO20" s="54">
        <f t="shared" si="43"/>
        <v>98.1</v>
      </c>
      <c r="AP20" s="75">
        <f t="shared" si="27"/>
        <v>0</v>
      </c>
      <c r="AQ20" s="75">
        <f t="shared" si="27"/>
        <v>0</v>
      </c>
      <c r="AR20" s="53">
        <f t="shared" si="27"/>
        <v>0</v>
      </c>
      <c r="AS20" s="55">
        <f t="shared" si="27"/>
        <v>0</v>
      </c>
      <c r="AT20" s="2"/>
      <c r="AU20" s="51">
        <f t="shared" si="14"/>
        <v>279.09449999999998</v>
      </c>
      <c r="AV20" s="50">
        <f t="shared" si="15"/>
        <v>-7.5571177504393683E-2</v>
      </c>
      <c r="AW20" s="50">
        <f t="shared" si="16"/>
        <v>0.64480400497718982</v>
      </c>
      <c r="AX20" s="69">
        <f t="shared" si="28"/>
        <v>-6.6845835853794027</v>
      </c>
      <c r="AY20" s="73">
        <f t="shared" si="29"/>
        <v>0.64921738093186043</v>
      </c>
      <c r="AZ20" s="527"/>
      <c r="BA20" s="58">
        <f t="shared" si="30"/>
        <v>-0.25695544297588663</v>
      </c>
      <c r="BB20" s="57">
        <f t="shared" si="31"/>
        <v>-0.59620223752439094</v>
      </c>
      <c r="BC20" s="53">
        <f t="shared" si="32"/>
        <v>166.39676538075111</v>
      </c>
      <c r="BD20" s="55">
        <f t="shared" si="33"/>
        <v>-71.714850879633588</v>
      </c>
      <c r="BE20" s="2"/>
      <c r="BF20" s="54">
        <f t="shared" si="34"/>
        <v>166.39676538075111</v>
      </c>
      <c r="BG20" s="53">
        <f t="shared" si="34"/>
        <v>-71.714850879633588</v>
      </c>
      <c r="BH20" s="57">
        <f t="shared" si="35"/>
        <v>-0.19012697926304226</v>
      </c>
      <c r="BI20" s="129">
        <f t="shared" si="36"/>
        <v>-0.44114313803820343</v>
      </c>
      <c r="BJ20" s="66" t="str">
        <f t="shared" si="17"/>
        <v>no</v>
      </c>
      <c r="BK20" s="2"/>
      <c r="BL20" s="70">
        <f t="shared" si="37"/>
        <v>181.19300032248711</v>
      </c>
      <c r="BM20" s="528">
        <f t="shared" si="38"/>
        <v>23.315416414620575</v>
      </c>
      <c r="BN20" s="121"/>
      <c r="BO20" s="577">
        <f t="shared" si="39"/>
        <v>0.11522847228063168</v>
      </c>
      <c r="BP20" s="578">
        <f t="shared" si="40"/>
        <v>0.23132833667446431</v>
      </c>
      <c r="BR20" s="507" t="str">
        <f t="shared" si="41"/>
        <v>NO-OK</v>
      </c>
      <c r="BS20" s="512" t="str">
        <f t="shared" si="42"/>
        <v>NO-OK</v>
      </c>
    </row>
    <row r="21" spans="1:71" ht="18.75" customHeight="1" x14ac:dyDescent="0.25">
      <c r="A21" s="200" t="s">
        <v>75</v>
      </c>
      <c r="B21" s="201">
        <f>+G21</f>
        <v>0</v>
      </c>
      <c r="C21" s="202">
        <f>+'Input Page'!E63</f>
        <v>0</v>
      </c>
      <c r="D21" s="202">
        <f>+'Input Page'!F63</f>
        <v>0</v>
      </c>
      <c r="E21" s="201">
        <f t="shared" ref="E21:E23" si="48">+B21*D21*-1</f>
        <v>0</v>
      </c>
      <c r="F21" s="250">
        <f t="shared" ref="F21:F23" si="49">+B21*C21</f>
        <v>0</v>
      </c>
      <c r="G21" s="623">
        <v>0</v>
      </c>
      <c r="H21" s="252">
        <f>+'Input Page'!D63</f>
        <v>0</v>
      </c>
      <c r="I21" s="221">
        <f t="shared" ref="I21:I23" si="50">+IF(J21=0,-1E-24,G21/J21*-1)</f>
        <v>-9.9999999999999992E-25</v>
      </c>
      <c r="J21" s="222">
        <f>+'Input Page'!C63</f>
        <v>0</v>
      </c>
      <c r="K21" s="241"/>
      <c r="L21" s="413">
        <f>+IF('Input Page'!$G$68="YES",Travelling!L20+15,0)</f>
        <v>225</v>
      </c>
      <c r="M21" s="9">
        <f t="shared" si="0"/>
        <v>70.640965615401896</v>
      </c>
      <c r="N21" s="9">
        <f t="shared" si="1"/>
        <v>132.83670018040962</v>
      </c>
      <c r="O21" s="9">
        <f t="shared" si="2"/>
        <v>33.946602965008488</v>
      </c>
      <c r="P21" s="9">
        <f t="shared" si="3"/>
        <v>92.214910932631383</v>
      </c>
      <c r="Q21" s="10">
        <f t="shared" si="4"/>
        <v>23.56564838355807</v>
      </c>
      <c r="R21" s="11">
        <f t="shared" si="18"/>
        <v>-0.37690306690021674</v>
      </c>
      <c r="S21" s="12">
        <f t="shared" si="19"/>
        <v>3.8140000000000001</v>
      </c>
      <c r="T21" s="13">
        <f t="shared" si="20"/>
        <v>3.0601938661995667</v>
      </c>
      <c r="U21" s="14">
        <f t="shared" si="21"/>
        <v>103.93320587015737</v>
      </c>
      <c r="W21" s="549" t="str">
        <f t="shared" si="22"/>
        <v>Max @ Rear</v>
      </c>
      <c r="X21" s="76">
        <f t="shared" si="23"/>
        <v>28.756125674283279</v>
      </c>
      <c r="Y21" s="76">
        <f t="shared" si="24"/>
        <v>112.52580555652051</v>
      </c>
      <c r="Z21" s="2"/>
      <c r="AA21" s="89">
        <f t="shared" si="5"/>
        <v>222.63903136881865</v>
      </c>
      <c r="AB21" s="90">
        <f t="shared" si="25"/>
        <v>-0.37690306690021674</v>
      </c>
      <c r="AC21" s="91">
        <f t="shared" si="6"/>
        <v>3.8140000000000001</v>
      </c>
      <c r="AD21" s="92">
        <f t="shared" si="7"/>
        <v>3.0601938661995667</v>
      </c>
      <c r="AE21" s="43">
        <f t="shared" si="8"/>
        <v>103.93320587015737</v>
      </c>
      <c r="AF21" s="2"/>
      <c r="AG21" s="89">
        <f t="shared" si="9"/>
        <v>154.5554686311813</v>
      </c>
      <c r="AH21" s="90">
        <f t="shared" si="26"/>
        <v>-0.37690306690021674</v>
      </c>
      <c r="AI21" s="91">
        <f t="shared" si="10"/>
        <v>3.8140000000000001</v>
      </c>
      <c r="AJ21" s="92">
        <f t="shared" si="11"/>
        <v>3.0601938661995667</v>
      </c>
      <c r="AK21" s="550">
        <f t="shared" si="12"/>
        <v>72.150176188077666</v>
      </c>
      <c r="AL21" s="42"/>
      <c r="AM21" s="525">
        <f t="shared" si="13"/>
        <v>225</v>
      </c>
      <c r="AN21" s="526"/>
      <c r="AO21" s="54">
        <f t="shared" si="43"/>
        <v>98.1</v>
      </c>
      <c r="AP21" s="75">
        <f t="shared" si="27"/>
        <v>0</v>
      </c>
      <c r="AQ21" s="75">
        <f t="shared" si="27"/>
        <v>0</v>
      </c>
      <c r="AR21" s="53">
        <f t="shared" si="27"/>
        <v>0</v>
      </c>
      <c r="AS21" s="55">
        <f t="shared" si="27"/>
        <v>0</v>
      </c>
      <c r="AT21" s="2"/>
      <c r="AU21" s="51">
        <f t="shared" si="14"/>
        <v>279.09449999999998</v>
      </c>
      <c r="AV21" s="50">
        <f t="shared" si="15"/>
        <v>-7.5571177504393683E-2</v>
      </c>
      <c r="AW21" s="50">
        <f t="shared" si="16"/>
        <v>0.64480400497718982</v>
      </c>
      <c r="AX21" s="69">
        <f t="shared" si="28"/>
        <v>-6.6845835853794027</v>
      </c>
      <c r="AY21" s="73">
        <f t="shared" si="29"/>
        <v>0.64921738093186043</v>
      </c>
      <c r="AZ21" s="527"/>
      <c r="BA21" s="58">
        <f t="shared" si="30"/>
        <v>-0.40250839238000607</v>
      </c>
      <c r="BB21" s="57">
        <f t="shared" si="31"/>
        <v>-0.50938217653122431</v>
      </c>
      <c r="BC21" s="53">
        <f t="shared" si="32"/>
        <v>142.16576386789379</v>
      </c>
      <c r="BD21" s="55">
        <f t="shared" si="33"/>
        <v>-112.3378785171016</v>
      </c>
      <c r="BE21" s="2"/>
      <c r="BF21" s="54">
        <f t="shared" si="34"/>
        <v>142.16576386789379</v>
      </c>
      <c r="BG21" s="53">
        <f t="shared" si="34"/>
        <v>-112.3378785171016</v>
      </c>
      <c r="BH21" s="57">
        <f t="shared" si="35"/>
        <v>-0.29782480528507604</v>
      </c>
      <c r="BI21" s="129">
        <f t="shared" si="36"/>
        <v>-0.37690306690021674</v>
      </c>
      <c r="BJ21" s="66" t="str">
        <f t="shared" si="17"/>
        <v>no</v>
      </c>
      <c r="BK21" s="2"/>
      <c r="BL21" s="70">
        <f t="shared" si="37"/>
        <v>181.19300032248711</v>
      </c>
      <c r="BM21" s="528">
        <f t="shared" si="38"/>
        <v>38.315416414620586</v>
      </c>
      <c r="BN21" s="121"/>
      <c r="BO21" s="577">
        <f t="shared" si="39"/>
        <v>0.18049988199095518</v>
      </c>
      <c r="BP21" s="578">
        <f t="shared" si="40"/>
        <v>0.19764188091254156</v>
      </c>
      <c r="BR21" s="507" t="str">
        <f t="shared" si="41"/>
        <v>NO-OK</v>
      </c>
      <c r="BS21" s="512" t="str">
        <f t="shared" si="42"/>
        <v>NO-OK</v>
      </c>
    </row>
    <row r="22" spans="1:71" ht="20.100000000000001" customHeight="1" x14ac:dyDescent="0.25">
      <c r="A22" s="200" t="s">
        <v>77</v>
      </c>
      <c r="B22" s="201">
        <f>+G22</f>
        <v>0</v>
      </c>
      <c r="C22" s="202">
        <f>+'Input Page'!E64</f>
        <v>0</v>
      </c>
      <c r="D22" s="202">
        <f>+'Input Page'!F64</f>
        <v>0</v>
      </c>
      <c r="E22" s="201">
        <f t="shared" si="48"/>
        <v>0</v>
      </c>
      <c r="F22" s="250">
        <f t="shared" si="49"/>
        <v>0</v>
      </c>
      <c r="G22" s="623">
        <v>0</v>
      </c>
      <c r="H22" s="252">
        <f>+'Input Page'!D64</f>
        <v>0</v>
      </c>
      <c r="I22" s="221">
        <f t="shared" si="50"/>
        <v>-9.9999999999999992E-25</v>
      </c>
      <c r="J22" s="222">
        <f>+'Input Page'!C64</f>
        <v>0</v>
      </c>
      <c r="K22" s="253"/>
      <c r="L22" s="413">
        <f>+IF('Input Page'!$G$68="YES",Travelling!L21+15,0)</f>
        <v>240</v>
      </c>
      <c r="M22" s="9">
        <f t="shared" si="0"/>
        <v>70.640965615401896</v>
      </c>
      <c r="N22" s="9">
        <f t="shared" si="1"/>
        <v>126.47080609479067</v>
      </c>
      <c r="O22" s="9">
        <f t="shared" si="2"/>
        <v>47.79629151568772</v>
      </c>
      <c r="P22" s="9">
        <f t="shared" si="3"/>
        <v>78.59417719112092</v>
      </c>
      <c r="Q22" s="10">
        <f t="shared" si="4"/>
        <v>29.702587660008287</v>
      </c>
      <c r="R22" s="11">
        <f t="shared" si="18"/>
        <v>-0.28697767461474827</v>
      </c>
      <c r="S22" s="12">
        <f t="shared" si="19"/>
        <v>3.8140000000000001</v>
      </c>
      <c r="T22" s="13">
        <f t="shared" si="20"/>
        <v>3.2400446507705034</v>
      </c>
      <c r="U22" s="14">
        <f t="shared" si="21"/>
        <v>102.56875782997395</v>
      </c>
      <c r="W22" s="549" t="str">
        <f t="shared" si="22"/>
        <v>Max @ Rear</v>
      </c>
      <c r="X22" s="76">
        <f t="shared" si="23"/>
        <v>38.749439587848002</v>
      </c>
      <c r="Y22" s="76">
        <f t="shared" si="24"/>
        <v>102.53249164295579</v>
      </c>
      <c r="Z22" s="2"/>
      <c r="AA22" s="89">
        <f t="shared" si="5"/>
        <v>232.62914860022758</v>
      </c>
      <c r="AB22" s="90">
        <f t="shared" si="25"/>
        <v>-0.28697767461474827</v>
      </c>
      <c r="AC22" s="91">
        <f t="shared" si="6"/>
        <v>3.8140000000000001</v>
      </c>
      <c r="AD22" s="92">
        <f t="shared" si="7"/>
        <v>3.2400446507705034</v>
      </c>
      <c r="AE22" s="43">
        <f t="shared" si="8"/>
        <v>102.56875782997395</v>
      </c>
      <c r="AF22" s="2"/>
      <c r="AG22" s="89">
        <f t="shared" si="9"/>
        <v>144.56535139977237</v>
      </c>
      <c r="AH22" s="90">
        <f t="shared" si="26"/>
        <v>-0.28697767461474827</v>
      </c>
      <c r="AI22" s="91">
        <f t="shared" si="10"/>
        <v>3.8140000000000001</v>
      </c>
      <c r="AJ22" s="92">
        <f t="shared" si="11"/>
        <v>3.2400446507705034</v>
      </c>
      <c r="AK22" s="550">
        <f t="shared" si="12"/>
        <v>63.740458182263367</v>
      </c>
      <c r="AL22" s="42"/>
      <c r="AM22" s="525">
        <f t="shared" si="13"/>
        <v>240</v>
      </c>
      <c r="AN22" s="526"/>
      <c r="AO22" s="54">
        <f t="shared" si="43"/>
        <v>98.1</v>
      </c>
      <c r="AP22" s="75">
        <f t="shared" si="27"/>
        <v>0</v>
      </c>
      <c r="AQ22" s="75">
        <f t="shared" si="27"/>
        <v>0</v>
      </c>
      <c r="AR22" s="53">
        <f t="shared" si="27"/>
        <v>0</v>
      </c>
      <c r="AS22" s="55">
        <f t="shared" si="27"/>
        <v>0</v>
      </c>
      <c r="AT22" s="2"/>
      <c r="AU22" s="51">
        <f t="shared" si="14"/>
        <v>279.09449999999998</v>
      </c>
      <c r="AV22" s="50">
        <f t="shared" si="15"/>
        <v>-7.5571177504393683E-2</v>
      </c>
      <c r="AW22" s="50">
        <f t="shared" si="16"/>
        <v>0.64480400497718982</v>
      </c>
      <c r="AX22" s="69">
        <f t="shared" si="28"/>
        <v>-6.6845835853794027</v>
      </c>
      <c r="AY22" s="73">
        <f t="shared" si="29"/>
        <v>0.64921738093186043</v>
      </c>
      <c r="AZ22" s="527"/>
      <c r="BA22" s="58">
        <f t="shared" si="30"/>
        <v>-0.52063106001999715</v>
      </c>
      <c r="BB22" s="57">
        <f t="shared" si="31"/>
        <v>-0.38784856200130297</v>
      </c>
      <c r="BC22" s="53">
        <f t="shared" si="32"/>
        <v>108.24640048747264</v>
      </c>
      <c r="BD22" s="55">
        <f t="shared" si="33"/>
        <v>-145.30526538075108</v>
      </c>
      <c r="BE22" s="2"/>
      <c r="BF22" s="54">
        <f t="shared" si="34"/>
        <v>108.24640048747264</v>
      </c>
      <c r="BG22" s="53">
        <f t="shared" si="34"/>
        <v>-145.30526538075108</v>
      </c>
      <c r="BH22" s="57">
        <f t="shared" si="35"/>
        <v>-0.38522636300569363</v>
      </c>
      <c r="BI22" s="129">
        <f t="shared" si="36"/>
        <v>-0.28697767461474827</v>
      </c>
      <c r="BJ22" s="66" t="str">
        <f t="shared" si="17"/>
        <v>no</v>
      </c>
      <c r="BK22" s="2"/>
      <c r="BL22" s="70">
        <f t="shared" si="37"/>
        <v>181.19300032248711</v>
      </c>
      <c r="BM22" s="528">
        <f t="shared" si="38"/>
        <v>53.315416414620593</v>
      </c>
      <c r="BN22" s="121"/>
      <c r="BO22" s="577">
        <f t="shared" si="39"/>
        <v>0.23347052303375374</v>
      </c>
      <c r="BP22" s="578">
        <f t="shared" si="40"/>
        <v>0.15048645758508036</v>
      </c>
      <c r="BR22" s="507" t="str">
        <f t="shared" si="41"/>
        <v>NO-OK</v>
      </c>
      <c r="BS22" s="512" t="str">
        <f t="shared" si="42"/>
        <v>NO-OK</v>
      </c>
    </row>
    <row r="23" spans="1:71" ht="16.5" thickBot="1" x14ac:dyDescent="0.3">
      <c r="A23" s="207" t="s">
        <v>78</v>
      </c>
      <c r="B23" s="208">
        <f>+G23</f>
        <v>0</v>
      </c>
      <c r="C23" s="209">
        <f>+'Input Page'!E65</f>
        <v>0</v>
      </c>
      <c r="D23" s="209">
        <f>+'Input Page'!F65</f>
        <v>0</v>
      </c>
      <c r="E23" s="208">
        <f t="shared" si="48"/>
        <v>0</v>
      </c>
      <c r="F23" s="254">
        <f t="shared" si="49"/>
        <v>0</v>
      </c>
      <c r="G23" s="624">
        <v>0</v>
      </c>
      <c r="H23" s="256">
        <f>+'Input Page'!D65</f>
        <v>0</v>
      </c>
      <c r="I23" s="234">
        <f t="shared" si="50"/>
        <v>-9.9999999999999992E-25</v>
      </c>
      <c r="J23" s="235">
        <f>+'Input Page'!C65</f>
        <v>0</v>
      </c>
      <c r="K23" s="253"/>
      <c r="L23" s="413">
        <f>+IF('Input Page'!$G$68="YES",Travelling!L22+15,0)</f>
        <v>255</v>
      </c>
      <c r="M23" s="9">
        <f t="shared" si="0"/>
        <v>70.640965615401896</v>
      </c>
      <c r="N23" s="9">
        <f t="shared" si="1"/>
        <v>114.8125372458161</v>
      </c>
      <c r="O23" s="9">
        <f t="shared" si="2"/>
        <v>64.690470251512465</v>
      </c>
      <c r="P23" s="9">
        <f t="shared" si="3"/>
        <v>65.919108621887744</v>
      </c>
      <c r="Q23" s="10">
        <f t="shared" si="4"/>
        <v>37.141746342391244</v>
      </c>
      <c r="R23" s="11">
        <f t="shared" si="18"/>
        <v>-0.17749522805731552</v>
      </c>
      <c r="S23" s="12">
        <f t="shared" si="19"/>
        <v>3.8140000000000001</v>
      </c>
      <c r="T23" s="13">
        <f t="shared" si="20"/>
        <v>3.4590095438853692</v>
      </c>
      <c r="U23" s="14">
        <f t="shared" si="21"/>
        <v>98.962500957109157</v>
      </c>
      <c r="W23" s="549" t="str">
        <f t="shared" si="22"/>
        <v>Max @ Rear</v>
      </c>
      <c r="X23" s="76">
        <f t="shared" si="23"/>
        <v>50.916108296951855</v>
      </c>
      <c r="Y23" s="76">
        <f t="shared" si="24"/>
        <v>90.365822933851931</v>
      </c>
      <c r="Z23" s="2"/>
      <c r="AA23" s="89">
        <f t="shared" si="5"/>
        <v>239.61856470818392</v>
      </c>
      <c r="AB23" s="90">
        <f t="shared" si="25"/>
        <v>-0.17749522805731552</v>
      </c>
      <c r="AC23" s="91">
        <f t="shared" si="6"/>
        <v>3.8140000000000001</v>
      </c>
      <c r="AD23" s="92">
        <f t="shared" si="7"/>
        <v>3.4590095438853692</v>
      </c>
      <c r="AE23" s="43">
        <f t="shared" si="8"/>
        <v>98.962500957109157</v>
      </c>
      <c r="AF23" s="2"/>
      <c r="AG23" s="89">
        <f t="shared" si="9"/>
        <v>137.57593529181602</v>
      </c>
      <c r="AH23" s="90">
        <f t="shared" si="26"/>
        <v>-0.17749522805731552</v>
      </c>
      <c r="AI23" s="91">
        <f t="shared" si="10"/>
        <v>3.8140000000000001</v>
      </c>
      <c r="AJ23" s="92">
        <f t="shared" si="11"/>
        <v>3.4590095438853692</v>
      </c>
      <c r="AK23" s="550">
        <f t="shared" si="12"/>
        <v>56.818880642959343</v>
      </c>
      <c r="AL23" s="42"/>
      <c r="AM23" s="525">
        <f t="shared" si="13"/>
        <v>255</v>
      </c>
      <c r="AN23" s="526"/>
      <c r="AO23" s="54">
        <f t="shared" si="43"/>
        <v>98.1</v>
      </c>
      <c r="AP23" s="75">
        <f t="shared" si="43"/>
        <v>0</v>
      </c>
      <c r="AQ23" s="75">
        <f t="shared" si="43"/>
        <v>0</v>
      </c>
      <c r="AR23" s="53">
        <f t="shared" si="43"/>
        <v>0</v>
      </c>
      <c r="AS23" s="55">
        <f t="shared" si="43"/>
        <v>0</v>
      </c>
      <c r="AT23" s="2"/>
      <c r="AU23" s="51">
        <f t="shared" si="14"/>
        <v>279.09449999999998</v>
      </c>
      <c r="AV23" s="50">
        <f t="shared" si="15"/>
        <v>-7.5571177504393683E-2</v>
      </c>
      <c r="AW23" s="50">
        <f t="shared" si="16"/>
        <v>0.64480400497718982</v>
      </c>
      <c r="AX23" s="69">
        <f t="shared" si="28"/>
        <v>-6.6845835853794027</v>
      </c>
      <c r="AY23" s="73">
        <f t="shared" si="29"/>
        <v>0.64921738093186043</v>
      </c>
      <c r="AZ23" s="527"/>
      <c r="BA23" s="58">
        <f t="shared" si="30"/>
        <v>-0.60327358130313213</v>
      </c>
      <c r="BB23" s="57">
        <f t="shared" si="31"/>
        <v>-0.23988370892104682</v>
      </c>
      <c r="BC23" s="53">
        <f t="shared" si="32"/>
        <v>66.950223799465093</v>
      </c>
      <c r="BD23" s="55">
        <f t="shared" si="33"/>
        <v>-168.370338537007</v>
      </c>
      <c r="BE23" s="2"/>
      <c r="BF23" s="54">
        <f t="shared" si="34"/>
        <v>66.950223799465093</v>
      </c>
      <c r="BG23" s="53">
        <f t="shared" si="34"/>
        <v>-168.370338537007</v>
      </c>
      <c r="BH23" s="57">
        <f t="shared" si="35"/>
        <v>-0.44637538070413812</v>
      </c>
      <c r="BI23" s="129">
        <f t="shared" si="36"/>
        <v>-0.17749522805731552</v>
      </c>
      <c r="BJ23" s="66" t="str">
        <f t="shared" si="17"/>
        <v>no</v>
      </c>
      <c r="BK23" s="2"/>
      <c r="BL23" s="70">
        <f t="shared" si="37"/>
        <v>181.19300032248708</v>
      </c>
      <c r="BM23" s="528">
        <f t="shared" si="38"/>
        <v>68.315416414620586</v>
      </c>
      <c r="BN23" s="121"/>
      <c r="BO23" s="577">
        <f t="shared" si="39"/>
        <v>0.27053053376008374</v>
      </c>
      <c r="BP23" s="578">
        <f t="shared" si="40"/>
        <v>9.3075630863825656E-2</v>
      </c>
      <c r="BR23" s="507" t="str">
        <f t="shared" si="41"/>
        <v>NO-OK</v>
      </c>
      <c r="BS23" s="512" t="str">
        <f t="shared" si="42"/>
        <v>NO-OK</v>
      </c>
    </row>
    <row r="24" spans="1:71" ht="16.5" thickBot="1" x14ac:dyDescent="0.3">
      <c r="A24" s="831" t="s">
        <v>156</v>
      </c>
      <c r="B24" s="829">
        <f>+SUM(B19:B23)</f>
        <v>98.1</v>
      </c>
      <c r="C24" s="825">
        <f>+F24/B24</f>
        <v>0</v>
      </c>
      <c r="D24" s="825">
        <f>+E24/B24*-1</f>
        <v>0</v>
      </c>
      <c r="E24" s="829">
        <f>+SUM(E19:E23)</f>
        <v>0</v>
      </c>
      <c r="F24" s="842">
        <f>+SUM(F19:F23)</f>
        <v>0</v>
      </c>
      <c r="G24" s="913" t="s">
        <v>160</v>
      </c>
      <c r="H24" s="913"/>
      <c r="I24" s="240">
        <f>+MAX(I20:I23)</f>
        <v>-9.9999999999999992E-25</v>
      </c>
      <c r="J24" s="154"/>
      <c r="K24" s="253"/>
      <c r="L24" s="413">
        <f>+IF('Input Page'!$G$68="YES",Travelling!L23+15,0)</f>
        <v>270</v>
      </c>
      <c r="M24" s="9">
        <f t="shared" si="0"/>
        <v>70.640965615401896</v>
      </c>
      <c r="N24" s="9">
        <f t="shared" si="1"/>
        <v>99.07787627757952</v>
      </c>
      <c r="O24" s="9">
        <f t="shared" si="2"/>
        <v>83.056337922350636</v>
      </c>
      <c r="P24" s="9">
        <f t="shared" si="3"/>
        <v>54.631999313147851</v>
      </c>
      <c r="Q24" s="10">
        <f t="shared" si="4"/>
        <v>45.797648948529599</v>
      </c>
      <c r="R24" s="11">
        <f t="shared" si="18"/>
        <v>-5.591677503251008E-2</v>
      </c>
      <c r="S24" s="12">
        <f t="shared" si="19"/>
        <v>3.8140000000000001</v>
      </c>
      <c r="T24" s="13">
        <f t="shared" si="20"/>
        <v>3.70216644993498</v>
      </c>
      <c r="U24" s="14">
        <f t="shared" si="21"/>
        <v>93.81802551999435</v>
      </c>
      <c r="W24" s="549" t="str">
        <f t="shared" si="22"/>
        <v>Max @ Rear</v>
      </c>
      <c r="X24" s="76">
        <f t="shared" si="23"/>
        <v>64.42699343544011</v>
      </c>
      <c r="Y24" s="76">
        <f t="shared" si="24"/>
        <v>76.854937795363682</v>
      </c>
      <c r="Z24" s="2"/>
      <c r="AA24" s="89">
        <f t="shared" si="5"/>
        <v>243.13096253548673</v>
      </c>
      <c r="AB24" s="90">
        <f t="shared" si="25"/>
        <v>-5.591677503251008E-2</v>
      </c>
      <c r="AC24" s="91">
        <f t="shared" si="6"/>
        <v>3.8140000000000001</v>
      </c>
      <c r="AD24" s="92">
        <f t="shared" si="7"/>
        <v>3.70216644993498</v>
      </c>
      <c r="AE24" s="43">
        <f t="shared" si="8"/>
        <v>93.81802551999435</v>
      </c>
      <c r="AF24" s="2"/>
      <c r="AG24" s="89">
        <f t="shared" si="9"/>
        <v>134.06353746451322</v>
      </c>
      <c r="AH24" s="90">
        <f t="shared" si="26"/>
        <v>-5.591677503251008E-2</v>
      </c>
      <c r="AI24" s="91">
        <f t="shared" si="10"/>
        <v>3.8140000000000001</v>
      </c>
      <c r="AJ24" s="92">
        <f t="shared" si="11"/>
        <v>3.70216644993498</v>
      </c>
      <c r="AK24" s="550">
        <f t="shared" si="12"/>
        <v>51.731693273375782</v>
      </c>
      <c r="AL24" s="42"/>
      <c r="AM24" s="521">
        <f t="shared" si="13"/>
        <v>270</v>
      </c>
      <c r="AN24" s="522"/>
      <c r="AO24" s="60">
        <f t="shared" si="43"/>
        <v>98.1</v>
      </c>
      <c r="AP24" s="74">
        <f t="shared" si="43"/>
        <v>0</v>
      </c>
      <c r="AQ24" s="74">
        <f t="shared" si="43"/>
        <v>0</v>
      </c>
      <c r="AR24" s="61">
        <f t="shared" si="43"/>
        <v>0</v>
      </c>
      <c r="AS24" s="62">
        <f t="shared" si="43"/>
        <v>0</v>
      </c>
      <c r="AT24" s="67"/>
      <c r="AU24" s="63">
        <f t="shared" si="14"/>
        <v>279.09449999999998</v>
      </c>
      <c r="AV24" s="64">
        <f t="shared" si="15"/>
        <v>-7.5571177504393683E-2</v>
      </c>
      <c r="AW24" s="64">
        <f t="shared" si="16"/>
        <v>0.64480400497718982</v>
      </c>
      <c r="AX24" s="68">
        <f t="shared" si="28"/>
        <v>-6.6845835853794027</v>
      </c>
      <c r="AY24" s="72">
        <f t="shared" si="29"/>
        <v>0.64921738093186043</v>
      </c>
      <c r="AZ24" s="523"/>
      <c r="BA24" s="65">
        <f t="shared" si="30"/>
        <v>-0.6448040049771897</v>
      </c>
      <c r="BB24" s="66">
        <f t="shared" si="31"/>
        <v>-7.5571177504394113E-2</v>
      </c>
      <c r="BC24" s="61">
        <f t="shared" si="32"/>
        <v>21.091500000000121</v>
      </c>
      <c r="BD24" s="62">
        <f t="shared" si="33"/>
        <v>-179.96125136710626</v>
      </c>
      <c r="BE24" s="67"/>
      <c r="BF24" s="60">
        <f t="shared" si="34"/>
        <v>21.091500000000121</v>
      </c>
      <c r="BG24" s="61">
        <f t="shared" si="34"/>
        <v>-179.96125136710626</v>
      </c>
      <c r="BH24" s="66">
        <f t="shared" si="35"/>
        <v>-0.47710465387779061</v>
      </c>
      <c r="BI24" s="128">
        <f t="shared" si="36"/>
        <v>-5.591677503251008E-2</v>
      </c>
      <c r="BJ24" s="66" t="str">
        <f t="shared" si="17"/>
        <v>no</v>
      </c>
      <c r="BK24" s="2"/>
      <c r="BL24" s="71">
        <f t="shared" si="37"/>
        <v>181.19300032248711</v>
      </c>
      <c r="BM24" s="524">
        <f t="shared" si="38"/>
        <v>83.315416414620557</v>
      </c>
      <c r="BN24" s="120"/>
      <c r="BO24" s="577">
        <f t="shared" si="39"/>
        <v>0.28915433568350946</v>
      </c>
      <c r="BP24" s="578">
        <f t="shared" si="40"/>
        <v>2.9321853713953894E-2</v>
      </c>
      <c r="BR24" s="507" t="str">
        <f t="shared" si="41"/>
        <v>NO-OK</v>
      </c>
      <c r="BS24" s="512" t="str">
        <f t="shared" si="42"/>
        <v>NO-OK</v>
      </c>
    </row>
    <row r="25" spans="1:71" ht="16.5" thickBot="1" x14ac:dyDescent="0.3">
      <c r="A25" s="832"/>
      <c r="B25" s="830"/>
      <c r="C25" s="826"/>
      <c r="D25" s="826"/>
      <c r="E25" s="830"/>
      <c r="F25" s="843"/>
      <c r="G25" s="257"/>
      <c r="H25" s="480"/>
      <c r="I25" s="259"/>
      <c r="J25" s="259"/>
      <c r="K25" s="260"/>
      <c r="L25" s="413">
        <f>+IF('Input Page'!$G$68="YES",Travelling!L24+15,0)</f>
        <v>285</v>
      </c>
      <c r="M25" s="9">
        <f t="shared" si="0"/>
        <v>70.640965615401896</v>
      </c>
      <c r="N25" s="9">
        <f t="shared" si="1"/>
        <v>100.93512004628423</v>
      </c>
      <c r="O25" s="9">
        <f t="shared" si="2"/>
        <v>81.046285283491159</v>
      </c>
      <c r="P25" s="9">
        <f t="shared" si="3"/>
        <v>55.787580971552281</v>
      </c>
      <c r="Q25" s="10">
        <f t="shared" si="4"/>
        <v>44.794876160279919</v>
      </c>
      <c r="R25" s="11">
        <f t="shared" si="18"/>
        <v>6.9472313803921493E-2</v>
      </c>
      <c r="S25" s="12">
        <f t="shared" si="19"/>
        <v>3.8140000000000001</v>
      </c>
      <c r="T25" s="13">
        <f t="shared" si="20"/>
        <v>3.6750553723921571</v>
      </c>
      <c r="U25" s="14">
        <f t="shared" si="21"/>
        <v>94.430832953134072</v>
      </c>
      <c r="W25" s="549" t="str">
        <f t="shared" si="22"/>
        <v>Max @ Front</v>
      </c>
      <c r="X25" s="76">
        <f t="shared" si="23"/>
        <v>62.920580721885543</v>
      </c>
      <c r="Y25" s="76">
        <f t="shared" si="24"/>
        <v>78.36135050891825</v>
      </c>
      <c r="Z25" s="2"/>
      <c r="AA25" s="89">
        <f t="shared" si="5"/>
        <v>242.92697797471712</v>
      </c>
      <c r="AB25" s="90">
        <f t="shared" si="25"/>
        <v>6.9472313803921493E-2</v>
      </c>
      <c r="AC25" s="91">
        <f t="shared" si="6"/>
        <v>3.8140000000000001</v>
      </c>
      <c r="AD25" s="92">
        <f t="shared" si="7"/>
        <v>3.6750553723921571</v>
      </c>
      <c r="AE25" s="43">
        <f t="shared" si="8"/>
        <v>94.430832953134072</v>
      </c>
      <c r="AF25" s="2"/>
      <c r="AG25" s="89">
        <f t="shared" si="9"/>
        <v>134.26752202528283</v>
      </c>
      <c r="AH25" s="90">
        <f t="shared" si="26"/>
        <v>6.9472313803921493E-2</v>
      </c>
      <c r="AI25" s="91">
        <f t="shared" si="10"/>
        <v>3.8140000000000001</v>
      </c>
      <c r="AJ25" s="92">
        <f t="shared" si="11"/>
        <v>3.6750553723921571</v>
      </c>
      <c r="AK25" s="550">
        <f t="shared" si="12"/>
        <v>52.19261380150337</v>
      </c>
      <c r="AL25" s="42"/>
      <c r="AM25" s="525">
        <f t="shared" si="13"/>
        <v>285</v>
      </c>
      <c r="AN25" s="526"/>
      <c r="AO25" s="54">
        <f t="shared" si="43"/>
        <v>98.1</v>
      </c>
      <c r="AP25" s="75">
        <f t="shared" si="43"/>
        <v>0</v>
      </c>
      <c r="AQ25" s="75">
        <f t="shared" si="43"/>
        <v>0</v>
      </c>
      <c r="AR25" s="53">
        <f t="shared" si="43"/>
        <v>0</v>
      </c>
      <c r="AS25" s="55">
        <f t="shared" si="43"/>
        <v>0</v>
      </c>
      <c r="AT25" s="2"/>
      <c r="AU25" s="51">
        <f t="shared" si="14"/>
        <v>279.09449999999998</v>
      </c>
      <c r="AV25" s="50">
        <f t="shared" si="15"/>
        <v>-7.5571177504393683E-2</v>
      </c>
      <c r="AW25" s="50">
        <f t="shared" si="16"/>
        <v>0.64480400497718982</v>
      </c>
      <c r="AX25" s="69">
        <f t="shared" si="28"/>
        <v>-6.6845835853794027</v>
      </c>
      <c r="AY25" s="73">
        <f t="shared" si="29"/>
        <v>0.64921738093186043</v>
      </c>
      <c r="AZ25" s="527"/>
      <c r="BA25" s="58">
        <f t="shared" si="30"/>
        <v>-0.64239210130105284</v>
      </c>
      <c r="BB25" s="57">
        <f t="shared" si="31"/>
        <v>9.3891404771907938E-2</v>
      </c>
      <c r="BC25" s="53">
        <f t="shared" si="32"/>
        <v>-26.20457466911326</v>
      </c>
      <c r="BD25" s="55">
        <f t="shared" si="33"/>
        <v>-179.28810231656669</v>
      </c>
      <c r="BE25" s="2"/>
      <c r="BF25" s="54">
        <f t="shared" si="34"/>
        <v>-26.20457466911326</v>
      </c>
      <c r="BG25" s="53">
        <f t="shared" si="34"/>
        <v>-179.28810231656669</v>
      </c>
      <c r="BH25" s="57">
        <f t="shared" si="35"/>
        <v>-0.47532003334239159</v>
      </c>
      <c r="BI25" s="129">
        <f t="shared" si="36"/>
        <v>6.9472313803921493E-2</v>
      </c>
      <c r="BJ25" s="66" t="str">
        <f t="shared" si="17"/>
        <v>no</v>
      </c>
      <c r="BK25" s="2"/>
      <c r="BL25" s="70">
        <f t="shared" si="37"/>
        <v>181.19300032248714</v>
      </c>
      <c r="BM25" s="528">
        <f t="shared" si="38"/>
        <v>-81.684583585379414</v>
      </c>
      <c r="BN25" s="121"/>
      <c r="BO25" s="577">
        <f t="shared" si="39"/>
        <v>0.28807274748023737</v>
      </c>
      <c r="BP25" s="578">
        <f t="shared" si="40"/>
        <v>3.6430159309869689E-2</v>
      </c>
      <c r="BR25" s="507" t="str">
        <f t="shared" si="41"/>
        <v>NO-OK</v>
      </c>
      <c r="BS25" s="512" t="str">
        <f t="shared" si="42"/>
        <v>NO-OK</v>
      </c>
    </row>
    <row r="26" spans="1:71" ht="16.5" thickBot="1" x14ac:dyDescent="0.3">
      <c r="A26" s="261" t="s">
        <v>94</v>
      </c>
      <c r="B26" s="262">
        <f>+SUM(B4:B8)+B19</f>
        <v>377.19449999999995</v>
      </c>
      <c r="C26" s="263"/>
      <c r="D26" s="264"/>
      <c r="E26" s="264"/>
      <c r="F26" s="264"/>
      <c r="G26" s="840" t="s">
        <v>1</v>
      </c>
      <c r="H26" s="841"/>
      <c r="I26" s="914">
        <f>+'Input Page'!C68</f>
        <v>3.8140000000000001</v>
      </c>
      <c r="J26" s="915"/>
      <c r="K26" s="260"/>
      <c r="L26" s="413">
        <f>+IF('Input Page'!$G$68="YES",Travelling!L25+15,0)</f>
        <v>300</v>
      </c>
      <c r="M26" s="9">
        <f t="shared" si="0"/>
        <v>70.640965615401896</v>
      </c>
      <c r="N26" s="9">
        <f t="shared" si="1"/>
        <v>116.30504203880389</v>
      </c>
      <c r="O26" s="9">
        <f t="shared" si="2"/>
        <v>62.749952520032892</v>
      </c>
      <c r="P26" s="9">
        <f t="shared" si="3"/>
        <v>67.234110182081054</v>
      </c>
      <c r="Q26" s="10">
        <f t="shared" si="4"/>
        <v>36.274757720689742</v>
      </c>
      <c r="R26" s="11">
        <f t="shared" si="18"/>
        <v>0.19012697926304226</v>
      </c>
      <c r="S26" s="12">
        <f t="shared" si="19"/>
        <v>3.8140000000000001</v>
      </c>
      <c r="T26" s="13">
        <f t="shared" si="20"/>
        <v>3.4337460414739156</v>
      </c>
      <c r="U26" s="14">
        <f t="shared" si="21"/>
        <v>99.44179636451301</v>
      </c>
      <c r="W26" s="549" t="str">
        <f t="shared" si="22"/>
        <v>Max @ Front</v>
      </c>
      <c r="X26" s="76">
        <f t="shared" si="23"/>
        <v>49.51235512036132</v>
      </c>
      <c r="Y26" s="76">
        <f t="shared" si="24"/>
        <v>91.769576110442472</v>
      </c>
      <c r="Z26" s="2"/>
      <c r="AA26" s="89">
        <f t="shared" si="5"/>
        <v>239.02051223659123</v>
      </c>
      <c r="AB26" s="90">
        <f t="shared" si="25"/>
        <v>0.19012697926304226</v>
      </c>
      <c r="AC26" s="91">
        <f t="shared" si="6"/>
        <v>3.8140000000000001</v>
      </c>
      <c r="AD26" s="92">
        <f t="shared" si="7"/>
        <v>3.4337460414739156</v>
      </c>
      <c r="AE26" s="43">
        <f t="shared" si="8"/>
        <v>99.44179636451301</v>
      </c>
      <c r="AF26" s="2"/>
      <c r="AG26" s="89">
        <f t="shared" si="9"/>
        <v>138.17398776340872</v>
      </c>
      <c r="AH26" s="90">
        <f t="shared" si="26"/>
        <v>0.19012697926304226</v>
      </c>
      <c r="AI26" s="91">
        <f t="shared" si="10"/>
        <v>3.8140000000000001</v>
      </c>
      <c r="AJ26" s="92">
        <f t="shared" si="11"/>
        <v>3.4337460414739156</v>
      </c>
      <c r="AK26" s="550">
        <f t="shared" si="12"/>
        <v>57.485733862209216</v>
      </c>
      <c r="AL26" s="42"/>
      <c r="AM26" s="525">
        <f t="shared" si="13"/>
        <v>300</v>
      </c>
      <c r="AN26" s="526"/>
      <c r="AO26" s="54">
        <f t="shared" si="43"/>
        <v>98.1</v>
      </c>
      <c r="AP26" s="75">
        <f t="shared" si="43"/>
        <v>0</v>
      </c>
      <c r="AQ26" s="75">
        <f t="shared" si="43"/>
        <v>0</v>
      </c>
      <c r="AR26" s="53">
        <f t="shared" si="43"/>
        <v>0</v>
      </c>
      <c r="AS26" s="55">
        <f t="shared" si="43"/>
        <v>0</v>
      </c>
      <c r="AT26" s="2"/>
      <c r="AU26" s="51">
        <f t="shared" si="14"/>
        <v>279.09449999999998</v>
      </c>
      <c r="AV26" s="50">
        <f t="shared" si="15"/>
        <v>-7.5571177504393683E-2</v>
      </c>
      <c r="AW26" s="50">
        <f t="shared" si="16"/>
        <v>0.64480400497718982</v>
      </c>
      <c r="AX26" s="69">
        <f t="shared" si="28"/>
        <v>-6.6845835853794027</v>
      </c>
      <c r="AY26" s="73">
        <f t="shared" si="29"/>
        <v>0.64921738093186043</v>
      </c>
      <c r="AZ26" s="527"/>
      <c r="BA26" s="58">
        <f t="shared" si="30"/>
        <v>-0.59620223752439094</v>
      </c>
      <c r="BB26" s="57">
        <f t="shared" si="31"/>
        <v>0.25695544297588663</v>
      </c>
      <c r="BC26" s="53">
        <f t="shared" si="32"/>
        <v>-71.714850879633588</v>
      </c>
      <c r="BD26" s="55">
        <f t="shared" si="33"/>
        <v>-166.39676538075111</v>
      </c>
      <c r="BE26" s="2"/>
      <c r="BF26" s="54">
        <f t="shared" si="34"/>
        <v>-71.714850879633588</v>
      </c>
      <c r="BG26" s="53">
        <f t="shared" si="34"/>
        <v>-166.39676538075111</v>
      </c>
      <c r="BH26" s="57">
        <f t="shared" si="35"/>
        <v>-0.44114313803820343</v>
      </c>
      <c r="BI26" s="129">
        <f t="shared" si="36"/>
        <v>0.19012697926304226</v>
      </c>
      <c r="BJ26" s="66" t="str">
        <f t="shared" si="17"/>
        <v>no</v>
      </c>
      <c r="BK26" s="2"/>
      <c r="BL26" s="70">
        <f t="shared" si="37"/>
        <v>181.19300032248711</v>
      </c>
      <c r="BM26" s="528">
        <f t="shared" si="38"/>
        <v>-66.684583585379428</v>
      </c>
      <c r="BN26" s="121"/>
      <c r="BO26" s="577">
        <f t="shared" si="39"/>
        <v>0.26735947759891121</v>
      </c>
      <c r="BP26" s="578">
        <f t="shared" si="40"/>
        <v>9.9699517180410202E-2</v>
      </c>
      <c r="BR26" s="507" t="str">
        <f t="shared" si="41"/>
        <v>NO-OK</v>
      </c>
      <c r="BS26" s="512" t="str">
        <f t="shared" si="42"/>
        <v>NO-OK</v>
      </c>
    </row>
    <row r="27" spans="1:71" ht="15.75" x14ac:dyDescent="0.25">
      <c r="A27" s="821" t="s">
        <v>110</v>
      </c>
      <c r="B27" s="823">
        <f>+B16+B24</f>
        <v>377.19449999999995</v>
      </c>
      <c r="C27" s="825">
        <f>+F27/B27</f>
        <v>-5.5916775032509761E-2</v>
      </c>
      <c r="D27" s="827">
        <f>+E27/B27*-1</f>
        <v>0.47710465387779066</v>
      </c>
      <c r="E27" s="829">
        <f>+E16+E24</f>
        <v>-179.96125136710629</v>
      </c>
      <c r="F27" s="819">
        <f>+F16+F24</f>
        <v>-21.0915</v>
      </c>
      <c r="G27" s="856" t="s">
        <v>2</v>
      </c>
      <c r="H27" s="857"/>
      <c r="I27" s="852">
        <f>+'Input Page'!C69</f>
        <v>0.7</v>
      </c>
      <c r="J27" s="853"/>
      <c r="K27" s="260"/>
      <c r="L27" s="413">
        <f>+IF('Input Page'!$G$68="YES",Travelling!L26+15,0)</f>
        <v>315</v>
      </c>
      <c r="M27" s="9">
        <f t="shared" si="0"/>
        <v>70.640965615401896</v>
      </c>
      <c r="N27" s="9">
        <f t="shared" si="1"/>
        <v>127.43437084710519</v>
      </c>
      <c r="O27" s="9">
        <f t="shared" si="2"/>
        <v>46.120041097926169</v>
      </c>
      <c r="P27" s="9">
        <f t="shared" si="3"/>
        <v>80.041472799713716</v>
      </c>
      <c r="Q27" s="10">
        <f t="shared" si="4"/>
        <v>28.96797771686251</v>
      </c>
      <c r="R27" s="11">
        <f t="shared" si="18"/>
        <v>0.29782480528507582</v>
      </c>
      <c r="S27" s="12">
        <f t="shared" si="19"/>
        <v>3.8140000000000001</v>
      </c>
      <c r="T27" s="13">
        <f t="shared" si="20"/>
        <v>3.2183503894298484</v>
      </c>
      <c r="U27" s="14">
        <f t="shared" si="21"/>
        <v>102.83785900571505</v>
      </c>
      <c r="W27" s="549" t="str">
        <f t="shared" si="22"/>
        <v>Max @ Front</v>
      </c>
      <c r="X27" s="76">
        <f t="shared" si="23"/>
        <v>37.544009407394341</v>
      </c>
      <c r="Y27" s="76">
        <f t="shared" si="24"/>
        <v>103.73792182340945</v>
      </c>
      <c r="Z27" s="2"/>
      <c r="AA27" s="89">
        <f t="shared" si="5"/>
        <v>231.67778450542235</v>
      </c>
      <c r="AB27" s="90">
        <f t="shared" si="25"/>
        <v>0.29782480528507582</v>
      </c>
      <c r="AC27" s="91">
        <f t="shared" si="6"/>
        <v>3.8140000000000001</v>
      </c>
      <c r="AD27" s="92">
        <f t="shared" si="7"/>
        <v>3.2183503894298484</v>
      </c>
      <c r="AE27" s="43">
        <f t="shared" si="8"/>
        <v>102.83785900571505</v>
      </c>
      <c r="AF27" s="2"/>
      <c r="AG27" s="89">
        <f t="shared" si="9"/>
        <v>145.5167154945776</v>
      </c>
      <c r="AH27" s="90">
        <f t="shared" si="26"/>
        <v>0.29782480528507582</v>
      </c>
      <c r="AI27" s="91">
        <f t="shared" si="10"/>
        <v>3.8140000000000001</v>
      </c>
      <c r="AJ27" s="92">
        <f t="shared" si="11"/>
        <v>3.2183503894298484</v>
      </c>
      <c r="AK27" s="550">
        <f t="shared" si="12"/>
        <v>64.592414430033003</v>
      </c>
      <c r="AL27" s="42"/>
      <c r="AM27" s="525">
        <f t="shared" si="13"/>
        <v>315</v>
      </c>
      <c r="AN27" s="526"/>
      <c r="AO27" s="54">
        <f t="shared" si="43"/>
        <v>98.1</v>
      </c>
      <c r="AP27" s="75">
        <f t="shared" si="43"/>
        <v>0</v>
      </c>
      <c r="AQ27" s="75">
        <f t="shared" si="43"/>
        <v>0</v>
      </c>
      <c r="AR27" s="53">
        <f t="shared" si="43"/>
        <v>0</v>
      </c>
      <c r="AS27" s="55">
        <f t="shared" si="43"/>
        <v>0</v>
      </c>
      <c r="AT27" s="2"/>
      <c r="AU27" s="51">
        <f t="shared" si="14"/>
        <v>279.09449999999998</v>
      </c>
      <c r="AV27" s="50">
        <f t="shared" si="15"/>
        <v>-7.5571177504393683E-2</v>
      </c>
      <c r="AW27" s="50">
        <f t="shared" si="16"/>
        <v>0.64480400497718982</v>
      </c>
      <c r="AX27" s="69">
        <f t="shared" si="28"/>
        <v>-6.6845835853794027</v>
      </c>
      <c r="AY27" s="73">
        <f t="shared" si="29"/>
        <v>0.64921738093186043</v>
      </c>
      <c r="AZ27" s="527"/>
      <c r="BA27" s="58">
        <f t="shared" si="30"/>
        <v>-0.50938217653122453</v>
      </c>
      <c r="BB27" s="57">
        <f t="shared" si="31"/>
        <v>0.4025083923800058</v>
      </c>
      <c r="BC27" s="53">
        <f t="shared" si="32"/>
        <v>-112.33787851710152</v>
      </c>
      <c r="BD27" s="55">
        <f t="shared" si="33"/>
        <v>-142.16576386789384</v>
      </c>
      <c r="BE27" s="2"/>
      <c r="BF27" s="54">
        <f t="shared" si="34"/>
        <v>-112.33787851710152</v>
      </c>
      <c r="BG27" s="53">
        <f t="shared" si="34"/>
        <v>-142.16576386789384</v>
      </c>
      <c r="BH27" s="57">
        <f t="shared" si="35"/>
        <v>-0.37690306690021691</v>
      </c>
      <c r="BI27" s="129">
        <f t="shared" si="36"/>
        <v>0.29782480528507582</v>
      </c>
      <c r="BJ27" s="66" t="str">
        <f t="shared" si="17"/>
        <v>no</v>
      </c>
      <c r="BK27" s="2"/>
      <c r="BL27" s="70">
        <f t="shared" si="37"/>
        <v>181.19300032248711</v>
      </c>
      <c r="BM27" s="528">
        <f t="shared" si="38"/>
        <v>-51.68458358537945</v>
      </c>
      <c r="BN27" s="121"/>
      <c r="BO27" s="577">
        <f t="shared" si="39"/>
        <v>0.22842610115164663</v>
      </c>
      <c r="BP27" s="578">
        <f t="shared" si="40"/>
        <v>0.1561745177163481</v>
      </c>
      <c r="BR27" s="507" t="str">
        <f t="shared" si="41"/>
        <v>NO-OK</v>
      </c>
      <c r="BS27" s="512" t="str">
        <f t="shared" si="42"/>
        <v>NO-OK</v>
      </c>
    </row>
    <row r="28" spans="1:71" ht="16.5" thickBot="1" x14ac:dyDescent="0.3">
      <c r="A28" s="822"/>
      <c r="B28" s="824"/>
      <c r="C28" s="826"/>
      <c r="D28" s="828"/>
      <c r="E28" s="830"/>
      <c r="F28" s="820"/>
      <c r="G28" s="919" t="s">
        <v>95</v>
      </c>
      <c r="H28" s="920"/>
      <c r="I28" s="854">
        <f>+'Input Page'!C70</f>
        <v>3.3</v>
      </c>
      <c r="J28" s="855"/>
      <c r="K28" s="154"/>
      <c r="L28" s="413">
        <f>+IF('Input Page'!$G$68="YES",Travelling!L27+15,0)</f>
        <v>330</v>
      </c>
      <c r="M28" s="9">
        <f t="shared" si="0"/>
        <v>70.640965615401896</v>
      </c>
      <c r="N28" s="9">
        <f t="shared" si="1"/>
        <v>133.18278686437634</v>
      </c>
      <c r="O28" s="9">
        <f t="shared" si="2"/>
        <v>32.671726238971004</v>
      </c>
      <c r="P28" s="9">
        <f t="shared" si="3"/>
        <v>93.718742467837643</v>
      </c>
      <c r="Q28" s="10">
        <f t="shared" si="4"/>
        <v>22.990606890422612</v>
      </c>
      <c r="R28" s="11">
        <f t="shared" si="18"/>
        <v>0.38522636300569363</v>
      </c>
      <c r="S28" s="12">
        <f t="shared" si="19"/>
        <v>3.8140000000000001</v>
      </c>
      <c r="T28" s="13">
        <f t="shared" si="20"/>
        <v>3.0435472739886129</v>
      </c>
      <c r="U28" s="14">
        <f t="shared" si="21"/>
        <v>103.91971210408961</v>
      </c>
      <c r="W28" s="549" t="str">
        <f t="shared" si="22"/>
        <v>Max @ Front</v>
      </c>
      <c r="X28" s="76">
        <f t="shared" si="23"/>
        <v>27.831166564696808</v>
      </c>
      <c r="Y28" s="76">
        <f t="shared" si="24"/>
        <v>113.45076466610699</v>
      </c>
      <c r="Z28" s="2"/>
      <c r="AA28" s="89">
        <f t="shared" si="5"/>
        <v>221.39918954165836</v>
      </c>
      <c r="AB28" s="90">
        <f t="shared" si="25"/>
        <v>0.38522636300569363</v>
      </c>
      <c r="AC28" s="91">
        <f t="shared" si="6"/>
        <v>3.8140000000000001</v>
      </c>
      <c r="AD28" s="92">
        <f t="shared" si="7"/>
        <v>3.0435472739886129</v>
      </c>
      <c r="AE28" s="43">
        <f t="shared" si="8"/>
        <v>103.91971210408961</v>
      </c>
      <c r="AF28" s="2"/>
      <c r="AG28" s="89">
        <f t="shared" si="9"/>
        <v>155.79531045834159</v>
      </c>
      <c r="AH28" s="90">
        <f t="shared" si="26"/>
        <v>0.38522636300569363</v>
      </c>
      <c r="AI28" s="91">
        <f t="shared" si="10"/>
        <v>3.8140000000000001</v>
      </c>
      <c r="AJ28" s="92">
        <f t="shared" si="11"/>
        <v>3.0435472739886129</v>
      </c>
      <c r="AK28" s="550">
        <f t="shared" si="12"/>
        <v>73.126752828296958</v>
      </c>
      <c r="AL28" s="42"/>
      <c r="AM28" s="525">
        <f t="shared" si="13"/>
        <v>330</v>
      </c>
      <c r="AN28" s="526"/>
      <c r="AO28" s="54">
        <f t="shared" si="43"/>
        <v>98.1</v>
      </c>
      <c r="AP28" s="75">
        <f t="shared" si="43"/>
        <v>0</v>
      </c>
      <c r="AQ28" s="75">
        <f t="shared" si="43"/>
        <v>0</v>
      </c>
      <c r="AR28" s="53">
        <f t="shared" si="43"/>
        <v>0</v>
      </c>
      <c r="AS28" s="55">
        <f t="shared" si="43"/>
        <v>0</v>
      </c>
      <c r="AT28" s="2"/>
      <c r="AU28" s="51">
        <f t="shared" si="14"/>
        <v>279.09449999999998</v>
      </c>
      <c r="AV28" s="50">
        <f t="shared" si="15"/>
        <v>-7.5571177504393683E-2</v>
      </c>
      <c r="AW28" s="50">
        <f t="shared" si="16"/>
        <v>0.64480400497718982</v>
      </c>
      <c r="AX28" s="69">
        <f t="shared" si="28"/>
        <v>-6.6845835853794027</v>
      </c>
      <c r="AY28" s="73">
        <f t="shared" si="29"/>
        <v>0.64921738093186043</v>
      </c>
      <c r="AZ28" s="527"/>
      <c r="BA28" s="58">
        <f t="shared" si="30"/>
        <v>-0.38784856200130297</v>
      </c>
      <c r="BB28" s="57">
        <f t="shared" si="31"/>
        <v>0.52063106001999715</v>
      </c>
      <c r="BC28" s="53">
        <f t="shared" si="32"/>
        <v>-145.30526538075108</v>
      </c>
      <c r="BD28" s="55">
        <f t="shared" si="33"/>
        <v>-108.24640048747264</v>
      </c>
      <c r="BE28" s="2"/>
      <c r="BF28" s="54">
        <f t="shared" si="34"/>
        <v>-145.30526538075108</v>
      </c>
      <c r="BG28" s="53">
        <f t="shared" si="34"/>
        <v>-108.24640048747264</v>
      </c>
      <c r="BH28" s="57">
        <f t="shared" si="35"/>
        <v>-0.28697767461474827</v>
      </c>
      <c r="BI28" s="129">
        <f t="shared" si="36"/>
        <v>0.38522636300569363</v>
      </c>
      <c r="BJ28" s="66" t="str">
        <f t="shared" si="17"/>
        <v>no</v>
      </c>
      <c r="BK28" s="2"/>
      <c r="BL28" s="70">
        <f t="shared" si="37"/>
        <v>181.19300032248711</v>
      </c>
      <c r="BM28" s="528">
        <f t="shared" si="38"/>
        <v>-36.684583585379407</v>
      </c>
      <c r="BN28" s="121"/>
      <c r="BO28" s="577">
        <f t="shared" si="39"/>
        <v>0.17392586340287775</v>
      </c>
      <c r="BP28" s="578">
        <f t="shared" si="40"/>
        <v>0.20200648296051055</v>
      </c>
      <c r="BR28" s="507" t="str">
        <f t="shared" si="41"/>
        <v>NO-OK</v>
      </c>
      <c r="BS28" s="512" t="str">
        <f t="shared" si="42"/>
        <v>NO-OK</v>
      </c>
    </row>
    <row r="29" spans="1:71" ht="15.75" customHeight="1" thickBot="1" x14ac:dyDescent="0.3">
      <c r="A29" s="265"/>
      <c r="B29" s="266"/>
      <c r="C29" s="267"/>
      <c r="D29" s="268"/>
      <c r="E29" s="269"/>
      <c r="F29" s="266"/>
      <c r="G29" s="182"/>
      <c r="H29" s="270"/>
      <c r="I29" s="271"/>
      <c r="J29" s="271"/>
      <c r="K29" s="272"/>
      <c r="L29" s="413">
        <f>+IF('Input Page'!$G$68="YES",Travelling!L28+15,0)</f>
        <v>345</v>
      </c>
      <c r="M29" s="134">
        <f t="shared" si="0"/>
        <v>70.640965615401896</v>
      </c>
      <c r="N29" s="134">
        <f t="shared" si="1"/>
        <v>133.18141772091727</v>
      </c>
      <c r="O29" s="134">
        <f t="shared" si="2"/>
        <v>23.2986156942438</v>
      </c>
      <c r="P29" s="134">
        <f t="shared" si="3"/>
        <v>107.31096317915643</v>
      </c>
      <c r="Q29" s="135">
        <f t="shared" si="4"/>
        <v>18.772865867290097</v>
      </c>
      <c r="R29" s="136">
        <f t="shared" si="18"/>
        <v>0.44637538070413812</v>
      </c>
      <c r="S29" s="137">
        <f t="shared" si="19"/>
        <v>3.8140000000000001</v>
      </c>
      <c r="T29" s="132">
        <f t="shared" si="20"/>
        <v>2.9212492385917237</v>
      </c>
      <c r="U29" s="133">
        <f t="shared" si="21"/>
        <v>102.15062096740793</v>
      </c>
      <c r="W29" s="549" t="str">
        <f t="shared" si="22"/>
        <v>Max @ Front</v>
      </c>
      <c r="X29" s="76">
        <f t="shared" si="23"/>
        <v>21.035740780766947</v>
      </c>
      <c r="Y29" s="76">
        <f t="shared" si="24"/>
        <v>120.24619045003685</v>
      </c>
      <c r="Z29" s="2"/>
      <c r="AA29" s="89">
        <f t="shared" si="5"/>
        <v>208.8851966058985</v>
      </c>
      <c r="AB29" s="90">
        <f t="shared" si="25"/>
        <v>0.44637538070413812</v>
      </c>
      <c r="AC29" s="91">
        <f t="shared" si="6"/>
        <v>3.8140000000000001</v>
      </c>
      <c r="AD29" s="92">
        <f t="shared" si="7"/>
        <v>2.9212492385917237</v>
      </c>
      <c r="AE29" s="43">
        <f t="shared" si="8"/>
        <v>102.15062096740793</v>
      </c>
      <c r="AF29" s="2"/>
      <c r="AG29" s="89">
        <f t="shared" si="9"/>
        <v>168.30930339410145</v>
      </c>
      <c r="AH29" s="90">
        <f t="shared" si="26"/>
        <v>0.44637538070413812</v>
      </c>
      <c r="AI29" s="91">
        <f t="shared" si="10"/>
        <v>3.8140000000000001</v>
      </c>
      <c r="AJ29" s="92">
        <f t="shared" si="11"/>
        <v>2.9212492385917237</v>
      </c>
      <c r="AK29" s="550">
        <f t="shared" si="12"/>
        <v>82.307890341970889</v>
      </c>
      <c r="AL29" s="42"/>
      <c r="AM29" s="525">
        <f t="shared" si="13"/>
        <v>345</v>
      </c>
      <c r="AN29" s="526"/>
      <c r="AO29" s="54">
        <f t="shared" si="43"/>
        <v>98.1</v>
      </c>
      <c r="AP29" s="75">
        <f t="shared" si="43"/>
        <v>0</v>
      </c>
      <c r="AQ29" s="75">
        <f t="shared" si="43"/>
        <v>0</v>
      </c>
      <c r="AR29" s="53">
        <f t="shared" si="43"/>
        <v>0</v>
      </c>
      <c r="AS29" s="55">
        <f t="shared" si="43"/>
        <v>0</v>
      </c>
      <c r="AT29" s="2"/>
      <c r="AU29" s="51">
        <f t="shared" si="14"/>
        <v>279.09449999999998</v>
      </c>
      <c r="AV29" s="50">
        <f t="shared" si="15"/>
        <v>-7.5571177504393683E-2</v>
      </c>
      <c r="AW29" s="50">
        <f t="shared" si="16"/>
        <v>0.64480400497718982</v>
      </c>
      <c r="AX29" s="69">
        <f t="shared" si="28"/>
        <v>-6.6845835853794027</v>
      </c>
      <c r="AY29" s="73">
        <f t="shared" si="29"/>
        <v>0.64921738093186043</v>
      </c>
      <c r="AZ29" s="527"/>
      <c r="BA29" s="58">
        <f t="shared" si="30"/>
        <v>-0.23988370892104688</v>
      </c>
      <c r="BB29" s="57">
        <f t="shared" si="31"/>
        <v>0.60327358130313213</v>
      </c>
      <c r="BC29" s="53">
        <f t="shared" si="32"/>
        <v>-168.370338537007</v>
      </c>
      <c r="BD29" s="55">
        <f t="shared" si="33"/>
        <v>-66.950223799465107</v>
      </c>
      <c r="BE29" s="2"/>
      <c r="BF29" s="54">
        <f t="shared" si="34"/>
        <v>-168.370338537007</v>
      </c>
      <c r="BG29" s="53">
        <f t="shared" si="34"/>
        <v>-66.950223799465107</v>
      </c>
      <c r="BH29" s="57">
        <f t="shared" si="35"/>
        <v>-0.17749522805731557</v>
      </c>
      <c r="BI29" s="129">
        <f t="shared" si="36"/>
        <v>0.44637538070413812</v>
      </c>
      <c r="BJ29" s="66" t="str">
        <f t="shared" si="17"/>
        <v>no</v>
      </c>
      <c r="BK29" s="2"/>
      <c r="BL29" s="70">
        <f t="shared" si="37"/>
        <v>181.19300032248711</v>
      </c>
      <c r="BM29" s="528">
        <f t="shared" si="38"/>
        <v>-21.684583585379428</v>
      </c>
      <c r="BN29" s="121"/>
      <c r="BO29" s="577">
        <f t="shared" si="39"/>
        <v>0.10757286548928217</v>
      </c>
      <c r="BP29" s="578">
        <f t="shared" si="40"/>
        <v>0.23407204022241118</v>
      </c>
      <c r="BR29" s="507" t="str">
        <f t="shared" si="41"/>
        <v>NO-OK</v>
      </c>
      <c r="BS29" s="512" t="str">
        <f t="shared" si="42"/>
        <v>NO-OK</v>
      </c>
    </row>
    <row r="30" spans="1:71" ht="15.75" customHeight="1" thickBot="1" x14ac:dyDescent="0.25">
      <c r="A30" s="265"/>
      <c r="B30" s="266"/>
      <c r="C30" s="267"/>
      <c r="D30" s="268"/>
      <c r="E30" s="269"/>
      <c r="F30" s="266"/>
      <c r="G30" s="182"/>
      <c r="H30" s="270"/>
      <c r="I30" s="271"/>
      <c r="J30" s="271"/>
      <c r="K30" s="272"/>
      <c r="L30" s="109"/>
      <c r="M30" s="105"/>
      <c r="N30" s="105"/>
      <c r="O30" s="105"/>
      <c r="P30" s="105"/>
      <c r="Q30" s="105"/>
      <c r="R30" s="917" t="s">
        <v>168</v>
      </c>
      <c r="S30" s="918"/>
      <c r="T30" s="150">
        <f>+INDEX(T6:T29,MATCH(U30,U6:U29,0))</f>
        <v>3.0601938661995667</v>
      </c>
      <c r="U30" s="151">
        <f>MAX(U6:U29)</f>
        <v>103.93320587015738</v>
      </c>
      <c r="W30" s="551"/>
      <c r="X30" s="552">
        <f t="shared" si="23"/>
        <v>17.620829092807409</v>
      </c>
      <c r="Y30" s="552">
        <f t="shared" si="24"/>
        <v>123.66110213799639</v>
      </c>
      <c r="Z30" s="544"/>
      <c r="AA30" s="553">
        <f t="shared" si="5"/>
        <v>194.98861363636362</v>
      </c>
      <c r="AB30" s="554">
        <f t="shared" si="25"/>
        <v>0.47710465387779061</v>
      </c>
      <c r="AC30" s="555" t="e">
        <f t="shared" si="6"/>
        <v>#DIV/0!</v>
      </c>
      <c r="AD30" s="556">
        <f t="shared" si="7"/>
        <v>2.859790692244419</v>
      </c>
      <c r="AE30" s="557">
        <f t="shared" si="8"/>
        <v>0</v>
      </c>
      <c r="AF30" s="544"/>
      <c r="AG30" s="553">
        <f t="shared" si="9"/>
        <v>182.20588636363632</v>
      </c>
      <c r="AH30" s="554">
        <f t="shared" si="26"/>
        <v>0.47710465387779061</v>
      </c>
      <c r="AI30" s="555" t="e">
        <f t="shared" si="10"/>
        <v>#DIV/0!</v>
      </c>
      <c r="AJ30" s="556">
        <f t="shared" si="11"/>
        <v>2.859790692244419</v>
      </c>
      <c r="AK30" s="558">
        <f t="shared" si="12"/>
        <v>0</v>
      </c>
      <c r="AL30" s="42"/>
      <c r="AM30" s="529">
        <f>+AM29+15</f>
        <v>360</v>
      </c>
      <c r="AN30" s="530"/>
      <c r="AO30" s="531">
        <f t="shared" si="43"/>
        <v>98.1</v>
      </c>
      <c r="AP30" s="532">
        <f t="shared" si="43"/>
        <v>0</v>
      </c>
      <c r="AQ30" s="532">
        <f t="shared" si="43"/>
        <v>0</v>
      </c>
      <c r="AR30" s="533">
        <f t="shared" si="43"/>
        <v>0</v>
      </c>
      <c r="AS30" s="534">
        <f t="shared" si="43"/>
        <v>0</v>
      </c>
      <c r="AT30" s="535"/>
      <c r="AU30" s="536">
        <f t="shared" si="14"/>
        <v>279.09449999999998</v>
      </c>
      <c r="AV30" s="537">
        <f t="shared" si="15"/>
        <v>-7.5571177504393683E-2</v>
      </c>
      <c r="AW30" s="537">
        <f t="shared" si="16"/>
        <v>0.64480400497718982</v>
      </c>
      <c r="AX30" s="538">
        <f t="shared" si="28"/>
        <v>-6.6845835853794027</v>
      </c>
      <c r="AY30" s="539">
        <f t="shared" si="29"/>
        <v>0.64921738093186043</v>
      </c>
      <c r="AZ30" s="540"/>
      <c r="BA30" s="541">
        <f t="shared" si="30"/>
        <v>-7.5571177504394169E-2</v>
      </c>
      <c r="BB30" s="542">
        <f t="shared" si="31"/>
        <v>0.6448040049771897</v>
      </c>
      <c r="BC30" s="533">
        <f t="shared" si="32"/>
        <v>-179.96125136710626</v>
      </c>
      <c r="BD30" s="534">
        <f t="shared" si="33"/>
        <v>-21.091500000000138</v>
      </c>
      <c r="BE30" s="535"/>
      <c r="BF30" s="531">
        <f t="shared" si="34"/>
        <v>-179.96125136710626</v>
      </c>
      <c r="BG30" s="533">
        <f t="shared" si="34"/>
        <v>-21.091500000000138</v>
      </c>
      <c r="BH30" s="542">
        <f t="shared" si="35"/>
        <v>-5.5916775032510128E-2</v>
      </c>
      <c r="BI30" s="543">
        <f t="shared" si="36"/>
        <v>0.47710465387779061</v>
      </c>
      <c r="BJ30" s="542" t="str">
        <f t="shared" si="17"/>
        <v>no</v>
      </c>
      <c r="BK30" s="544"/>
      <c r="BL30" s="545">
        <f t="shared" si="37"/>
        <v>181.19300032248711</v>
      </c>
      <c r="BM30" s="546">
        <f t="shared" si="38"/>
        <v>-6.6845835853794471</v>
      </c>
      <c r="BN30" s="120"/>
      <c r="BO30" s="577">
        <f t="shared" si="39"/>
        <v>3.3888954565157656E-2</v>
      </c>
      <c r="BP30" s="578">
        <f t="shared" si="40"/>
        <v>0.25018597476549059</v>
      </c>
      <c r="BR30" s="513" t="str">
        <f t="shared" si="41"/>
        <v>NO-OK</v>
      </c>
      <c r="BS30" s="514" t="str">
        <f t="shared" si="42"/>
        <v>NO-OK</v>
      </c>
    </row>
    <row r="31" spans="1:71" ht="15.75" customHeight="1" thickBot="1" x14ac:dyDescent="0.3">
      <c r="A31" s="273"/>
      <c r="B31" s="274"/>
      <c r="C31" s="274"/>
      <c r="D31" s="275"/>
      <c r="E31" s="155"/>
      <c r="F31" s="155"/>
      <c r="G31" s="155"/>
      <c r="H31" s="155"/>
      <c r="I31" s="154"/>
      <c r="J31" s="154"/>
      <c r="K31" s="154"/>
      <c r="L31" s="110"/>
      <c r="M31" s="96"/>
      <c r="N31" s="96"/>
      <c r="O31" s="96"/>
      <c r="P31" s="96"/>
      <c r="Q31" s="96"/>
      <c r="R31" s="144"/>
      <c r="S31" s="148" t="s">
        <v>167</v>
      </c>
      <c r="T31" s="149"/>
      <c r="U31" s="152"/>
      <c r="AB31" s="2"/>
      <c r="AC31" s="2"/>
      <c r="AD31" s="2"/>
      <c r="AE31" s="2"/>
      <c r="AF31" s="2"/>
      <c r="AG31" s="2"/>
      <c r="AH31" s="2"/>
      <c r="AI31" s="2"/>
      <c r="AJ31" s="2"/>
      <c r="AK31" s="2"/>
      <c r="AL31" s="113"/>
      <c r="AM31" s="2"/>
      <c r="BF31" s="124" t="s">
        <v>178</v>
      </c>
      <c r="BG31" s="515" t="s">
        <v>178</v>
      </c>
      <c r="BH31" s="515" t="s">
        <v>178</v>
      </c>
      <c r="BI31" s="125" t="s">
        <v>178</v>
      </c>
      <c r="BO31" s="575" t="s">
        <v>178</v>
      </c>
      <c r="BP31" s="576" t="s">
        <v>178</v>
      </c>
    </row>
    <row r="32" spans="1:71" ht="15.75" customHeight="1" thickBot="1" x14ac:dyDescent="0.3">
      <c r="A32" s="844" t="s">
        <v>216</v>
      </c>
      <c r="B32" s="845"/>
      <c r="C32" s="845" t="s">
        <v>36</v>
      </c>
      <c r="D32" s="947"/>
      <c r="E32" s="948" t="s">
        <v>36</v>
      </c>
      <c r="F32" s="949"/>
      <c r="G32" s="949"/>
      <c r="H32" s="949"/>
      <c r="I32" s="949"/>
      <c r="J32" s="950"/>
      <c r="K32" s="154"/>
      <c r="L32" s="106" t="s">
        <v>161</v>
      </c>
      <c r="M32" s="99"/>
      <c r="N32" s="99"/>
      <c r="O32" s="99"/>
      <c r="P32" s="99"/>
      <c r="Q32" s="99"/>
      <c r="R32" s="131"/>
      <c r="S32" s="145">
        <f>+INDEX(J12:J15,MATCH(U32,I12:I15,0))</f>
        <v>1.5</v>
      </c>
      <c r="T32" s="146">
        <f>+S32/$I$27</f>
        <v>2.1428571428571428</v>
      </c>
      <c r="U32" s="147">
        <f>+I16</f>
        <v>0</v>
      </c>
      <c r="X32" s="946" t="s">
        <v>185</v>
      </c>
      <c r="Y32" s="946"/>
      <c r="Z32" s="419"/>
      <c r="AA32" s="962" t="s">
        <v>90</v>
      </c>
      <c r="AB32" s="962" t="s">
        <v>89</v>
      </c>
      <c r="AC32" s="962" t="s">
        <v>158</v>
      </c>
      <c r="AD32" s="963" t="s">
        <v>29</v>
      </c>
      <c r="AE32" s="424" t="s">
        <v>190</v>
      </c>
      <c r="AF32" s="2"/>
      <c r="AG32" s="2"/>
      <c r="AI32" s="2"/>
      <c r="AJ32" s="2"/>
      <c r="AK32" s="2"/>
      <c r="AL32" s="113"/>
      <c r="BF32" s="70">
        <f>+MAX(BF6:BF30)</f>
        <v>179.96125136710629</v>
      </c>
      <c r="BG32" s="504">
        <f t="shared" ref="BG32:BI32" si="51">+MAX(BG6:BG30)</f>
        <v>179.96125136710629</v>
      </c>
      <c r="BH32" s="505">
        <f t="shared" si="51"/>
        <v>0.47710465387779066</v>
      </c>
      <c r="BI32" s="506">
        <f t="shared" si="51"/>
        <v>0.47710465387779066</v>
      </c>
      <c r="BO32" s="577">
        <f>+MAX(BO6:BO30)</f>
        <v>0.28915433568350951</v>
      </c>
      <c r="BP32" s="578">
        <f>+MAX(BP6:BP30)</f>
        <v>0.25018597476549065</v>
      </c>
    </row>
    <row r="33" spans="1:68" ht="15.75" customHeight="1" thickBot="1" x14ac:dyDescent="0.3">
      <c r="A33" s="951" t="str">
        <f>IF(G11&gt;H11,"ERROR - AUXILIARY LINE FORCE EXCEEDS MAXIMUM","AuxiIiary Line Force OK")</f>
        <v>AuxiIiary Line Force OK</v>
      </c>
      <c r="B33" s="952"/>
      <c r="C33" s="952"/>
      <c r="D33" s="952"/>
      <c r="E33" s="940"/>
      <c r="F33" s="940"/>
      <c r="G33" s="940"/>
      <c r="H33" s="940"/>
      <c r="I33" s="940"/>
      <c r="J33" s="941"/>
      <c r="K33" s="154"/>
      <c r="L33" s="138" t="s">
        <v>162</v>
      </c>
      <c r="M33" s="139"/>
      <c r="N33" s="139"/>
      <c r="O33" s="139"/>
      <c r="P33" s="139"/>
      <c r="Q33" s="139"/>
      <c r="R33" s="140"/>
      <c r="S33" s="139">
        <f>+INDEX(J20:J23,MATCH(U33,I20:I23,0))</f>
        <v>0</v>
      </c>
      <c r="T33" s="141">
        <f>+S33/$I$27</f>
        <v>0</v>
      </c>
      <c r="U33" s="16">
        <f>+I24</f>
        <v>-9.9999999999999992E-25</v>
      </c>
      <c r="X33" s="946"/>
      <c r="Y33" s="946"/>
      <c r="Z33" s="419"/>
      <c r="AA33" s="962"/>
      <c r="AB33" s="962"/>
      <c r="AC33" s="962"/>
      <c r="AD33" s="963"/>
      <c r="AE33" s="425" t="s">
        <v>187</v>
      </c>
      <c r="AF33" s="2"/>
      <c r="AG33" s="2"/>
      <c r="AI33" s="2"/>
      <c r="AJ33" s="2"/>
      <c r="AK33" s="2"/>
      <c r="AL33" s="113"/>
      <c r="AO33" s="419" t="s">
        <v>209</v>
      </c>
      <c r="AP33" s="419"/>
      <c r="AQ33" s="419"/>
      <c r="AR33" s="419"/>
      <c r="AS33" s="419"/>
      <c r="BF33" s="507" t="s">
        <v>165</v>
      </c>
      <c r="BG33" s="569" t="s">
        <v>165</v>
      </c>
      <c r="BH33" s="505" t="s">
        <v>165</v>
      </c>
      <c r="BI33" s="506" t="s">
        <v>165</v>
      </c>
      <c r="BO33" s="507" t="s">
        <v>165</v>
      </c>
      <c r="BP33" s="512" t="s">
        <v>165</v>
      </c>
    </row>
    <row r="34" spans="1:68" ht="15.75" customHeight="1" thickBot="1" x14ac:dyDescent="0.3">
      <c r="A34" s="938" t="str">
        <f>IF(G9&gt;H9,"ERROR - EXTRACTION FORCE EXCEEDS MAXIMUM","Extraction Force OK")</f>
        <v>Extraction Force OK</v>
      </c>
      <c r="B34" s="939"/>
      <c r="C34" s="939"/>
      <c r="D34" s="939"/>
      <c r="E34" s="942"/>
      <c r="F34" s="942"/>
      <c r="G34" s="942"/>
      <c r="H34" s="942"/>
      <c r="I34" s="942"/>
      <c r="J34" s="943"/>
      <c r="K34" s="154"/>
      <c r="L34" s="17"/>
      <c r="M34" s="18"/>
      <c r="N34" s="18"/>
      <c r="O34" s="18"/>
      <c r="P34" s="957" t="s">
        <v>30</v>
      </c>
      <c r="Q34" s="958"/>
      <c r="R34" s="958"/>
      <c r="S34" s="958"/>
      <c r="T34" s="142">
        <f>+INDEX(T30:T33,MATCH(U34,U30:U33,0))</f>
        <v>3.0601938661995667</v>
      </c>
      <c r="U34" s="143">
        <f>+MAX(U30:U33)</f>
        <v>103.93320587015738</v>
      </c>
      <c r="X34" s="946"/>
      <c r="Y34" s="946"/>
      <c r="Z34" s="419"/>
      <c r="AA34" s="962"/>
      <c r="AB34" s="962"/>
      <c r="AC34" s="962"/>
      <c r="AD34" s="963"/>
      <c r="AE34" s="423" t="s">
        <v>188</v>
      </c>
      <c r="AF34" s="2"/>
      <c r="AG34" s="2"/>
      <c r="AH34" s="2"/>
      <c r="AI34" s="2"/>
      <c r="AJ34" s="2"/>
      <c r="AK34" s="2"/>
      <c r="AL34" s="113"/>
      <c r="AO34" s="503" t="s">
        <v>114</v>
      </c>
      <c r="AP34" s="503"/>
      <c r="AQ34" s="503"/>
      <c r="AR34" s="503" t="s">
        <v>117</v>
      </c>
      <c r="AS34" s="477"/>
      <c r="BF34" s="508">
        <f>+MIN(BF6:BF30)</f>
        <v>-179.96125136710629</v>
      </c>
      <c r="BG34" s="509">
        <f t="shared" ref="BG34:BI34" si="52">+MIN(BG6:BG30)</f>
        <v>-179.96125136710626</v>
      </c>
      <c r="BH34" s="510">
        <f t="shared" si="52"/>
        <v>-0.47710465387779061</v>
      </c>
      <c r="BI34" s="511">
        <f t="shared" si="52"/>
        <v>-0.47710465387779066</v>
      </c>
      <c r="BO34" s="122">
        <f>+MIN(BO6:BO30)</f>
        <v>3.3888954565157434E-2</v>
      </c>
      <c r="BP34" s="123">
        <f>+MIN(BP6:BP30)</f>
        <v>2.9321853713953704E-2</v>
      </c>
    </row>
    <row r="35" spans="1:68" ht="15.75" customHeight="1" x14ac:dyDescent="0.25">
      <c r="A35" s="938" t="str">
        <f>IF(G10&lt;H10,"ERROR - PENETRATION FORCE EXCEEDS MAXIMUM",IF(G10&gt;0,"ERROR - PENETRATION FORCE MUST BE -ve","Penetration Force OK"))</f>
        <v>Penetration Force OK</v>
      </c>
      <c r="B35" s="939"/>
      <c r="C35" s="939"/>
      <c r="D35" s="939"/>
      <c r="E35" s="942"/>
      <c r="F35" s="942"/>
      <c r="G35" s="942"/>
      <c r="H35" s="942"/>
      <c r="I35" s="942"/>
      <c r="J35" s="943"/>
      <c r="K35" s="154"/>
      <c r="L35" s="97"/>
      <c r="M35" s="98"/>
      <c r="N35" s="98"/>
      <c r="O35" s="98"/>
      <c r="P35" s="100"/>
      <c r="Q35" s="101"/>
      <c r="R35" s="101"/>
      <c r="S35" s="101"/>
      <c r="T35" s="100"/>
      <c r="U35" s="102"/>
      <c r="X35" s="419" t="s">
        <v>179</v>
      </c>
      <c r="Y35" s="419"/>
      <c r="Z35" s="419"/>
      <c r="AA35" s="419"/>
      <c r="AB35" s="419"/>
      <c r="AC35" s="419"/>
      <c r="AD35" s="419"/>
      <c r="AE35" s="423"/>
      <c r="AF35" s="2"/>
      <c r="AG35" s="2"/>
      <c r="AJ35" s="2"/>
      <c r="AK35" s="2"/>
      <c r="AL35" s="113"/>
      <c r="AO35" s="503" t="s">
        <v>115</v>
      </c>
      <c r="AP35" s="503" t="s">
        <v>116</v>
      </c>
      <c r="AQ35" s="503"/>
      <c r="AR35" s="503" t="s">
        <v>115</v>
      </c>
      <c r="AS35" s="503" t="s">
        <v>116</v>
      </c>
    </row>
    <row r="36" spans="1:68" ht="15.75" customHeight="1" x14ac:dyDescent="0.25">
      <c r="A36" s="938" t="str">
        <f>+IF(AE40=0,"Slewing Footpad Forces OK","ERROR - With Slewing Footpad Forces")</f>
        <v>Slewing Footpad Forces OK</v>
      </c>
      <c r="B36" s="939"/>
      <c r="C36" s="939"/>
      <c r="D36" s="939"/>
      <c r="E36" s="942"/>
      <c r="F36" s="942"/>
      <c r="G36" s="942"/>
      <c r="H36" s="942"/>
      <c r="I36" s="942"/>
      <c r="J36" s="943"/>
      <c r="K36" s="154"/>
      <c r="L36" s="97" t="s">
        <v>232</v>
      </c>
      <c r="M36" s="98"/>
      <c r="N36" s="15"/>
      <c r="O36" s="15"/>
      <c r="Q36" s="126">
        <f>+BO32</f>
        <v>0.28915433568350951</v>
      </c>
      <c r="R36" s="101"/>
      <c r="S36" s="101"/>
      <c r="T36" s="100"/>
      <c r="U36" s="102"/>
      <c r="X36" s="916" t="s">
        <v>74</v>
      </c>
      <c r="Y36" s="916"/>
      <c r="Z36" s="419"/>
      <c r="AA36" s="420">
        <f>+G12</f>
        <v>0</v>
      </c>
      <c r="AB36" s="420">
        <f t="shared" ref="AB36:AD39" si="53">+H12</f>
        <v>-450</v>
      </c>
      <c r="AC36" s="420">
        <f t="shared" si="53"/>
        <v>0</v>
      </c>
      <c r="AD36" s="420">
        <f t="shared" si="53"/>
        <v>1.5</v>
      </c>
      <c r="AE36" s="419">
        <f>+IF(AA36&gt;0,1,IF(AA36&lt;AB36,1,0))</f>
        <v>0</v>
      </c>
      <c r="AO36" s="503">
        <f>+-1*(I28+I27)/2</f>
        <v>-2</v>
      </c>
      <c r="AP36" s="503">
        <f>+I26/2</f>
        <v>1.907</v>
      </c>
      <c r="AQ36" s="503"/>
      <c r="AR36" s="503">
        <f>+AO36*-1</f>
        <v>2</v>
      </c>
      <c r="AS36" s="503">
        <f>+AP36</f>
        <v>1.907</v>
      </c>
    </row>
    <row r="37" spans="1:68" ht="15.75" customHeight="1" thickBot="1" x14ac:dyDescent="0.3">
      <c r="A37" s="938" t="str">
        <f>+IF(AE41=0,"Non-Slewing Footpad Forces OK","ERROR - With Non-Slewing Footpad Forces")</f>
        <v>Non-Slewing Footpad Forces OK</v>
      </c>
      <c r="B37" s="939"/>
      <c r="C37" s="939"/>
      <c r="D37" s="939"/>
      <c r="E37" s="944"/>
      <c r="F37" s="944"/>
      <c r="G37" s="944"/>
      <c r="H37" s="944"/>
      <c r="I37" s="944"/>
      <c r="J37" s="945"/>
      <c r="K37" s="154"/>
      <c r="L37" s="97" t="s">
        <v>231</v>
      </c>
      <c r="M37" s="98"/>
      <c r="N37" s="118"/>
      <c r="O37" s="103"/>
      <c r="Q37" s="126">
        <f>+BP32</f>
        <v>0.25018597476549065</v>
      </c>
      <c r="R37" s="101"/>
      <c r="S37" s="101"/>
      <c r="T37" s="100"/>
      <c r="U37" s="102"/>
      <c r="X37" s="916" t="s">
        <v>75</v>
      </c>
      <c r="Y37" s="916"/>
      <c r="Z37" s="419"/>
      <c r="AA37" s="420">
        <f t="shared" ref="AA37:AA38" si="54">+G13</f>
        <v>0</v>
      </c>
      <c r="AB37" s="420">
        <f t="shared" si="53"/>
        <v>0</v>
      </c>
      <c r="AC37" s="420">
        <f t="shared" si="53"/>
        <v>-9.9999999999999992E-25</v>
      </c>
      <c r="AD37" s="420">
        <f t="shared" si="53"/>
        <v>0</v>
      </c>
      <c r="AE37" s="419">
        <f t="shared" ref="AE37:AE45" si="55">+IF(AA37&gt;0,1,IF(AA37&lt;AB37,1,0))</f>
        <v>0</v>
      </c>
      <c r="AO37" s="503">
        <f>+-1*(I28/2-I27/2)</f>
        <v>-1.2999999999999998</v>
      </c>
      <c r="AP37" s="503">
        <f>+I26/2</f>
        <v>1.907</v>
      </c>
      <c r="AQ37" s="503"/>
      <c r="AR37" s="503">
        <f t="shared" ref="AR37" si="56">+AO37*-1</f>
        <v>1.2999999999999998</v>
      </c>
      <c r="AS37" s="503">
        <f t="shared" ref="AS37" si="57">+AP37</f>
        <v>1.907</v>
      </c>
    </row>
    <row r="38" spans="1:68" ht="15.75" customHeight="1" x14ac:dyDescent="0.25">
      <c r="A38" s="158"/>
      <c r="B38" s="154"/>
      <c r="C38" s="154"/>
      <c r="D38" s="155"/>
      <c r="E38" s="155"/>
      <c r="F38" s="155"/>
      <c r="G38" s="155"/>
      <c r="H38" s="155"/>
      <c r="I38" s="154"/>
      <c r="J38" s="154"/>
      <c r="K38" s="154"/>
      <c r="L38" s="97" t="s">
        <v>166</v>
      </c>
      <c r="M38" s="98"/>
      <c r="N38" s="118"/>
      <c r="P38" s="100"/>
      <c r="Q38" s="103" t="str">
        <f>+IF(MIN(O6:O29)&lt;=0,"Track(s) lifting",IF(MIN(Q6:Q29)&lt;=0,"Track(s) lifting","None"))</f>
        <v>None</v>
      </c>
      <c r="R38" s="101"/>
      <c r="S38" s="101"/>
      <c r="T38" s="100"/>
      <c r="U38" s="102"/>
      <c r="X38" s="916" t="s">
        <v>77</v>
      </c>
      <c r="Y38" s="916"/>
      <c r="Z38" s="419"/>
      <c r="AA38" s="420">
        <f t="shared" si="54"/>
        <v>0</v>
      </c>
      <c r="AB38" s="420">
        <f t="shared" si="53"/>
        <v>0</v>
      </c>
      <c r="AC38" s="420">
        <f t="shared" si="53"/>
        <v>-9.9999999999999992E-25</v>
      </c>
      <c r="AD38" s="420">
        <f t="shared" si="53"/>
        <v>0</v>
      </c>
      <c r="AE38" s="419">
        <f t="shared" si="55"/>
        <v>0</v>
      </c>
      <c r="AO38" s="503">
        <f>+AO37</f>
        <v>-1.2999999999999998</v>
      </c>
      <c r="AP38" s="503">
        <f>+-1*AP37</f>
        <v>-1.907</v>
      </c>
      <c r="AQ38" s="503"/>
      <c r="AR38" s="503">
        <f>+AO38*-1</f>
        <v>1.2999999999999998</v>
      </c>
      <c r="AS38" s="503">
        <f>+AP38</f>
        <v>-1.907</v>
      </c>
    </row>
    <row r="39" spans="1:68" ht="15.75" customHeight="1" x14ac:dyDescent="0.25">
      <c r="A39" s="158"/>
      <c r="B39" s="154"/>
      <c r="C39" s="154"/>
      <c r="D39" s="155"/>
      <c r="E39" s="155"/>
      <c r="F39" s="155"/>
      <c r="G39" s="155"/>
      <c r="H39" s="155"/>
      <c r="I39" s="154"/>
      <c r="J39" s="154"/>
      <c r="K39" s="154"/>
      <c r="L39" s="107" t="s">
        <v>163</v>
      </c>
      <c r="M39" s="103"/>
      <c r="N39" s="15"/>
      <c r="P39" s="103"/>
      <c r="Q39" s="103" t="str">
        <f>IF($I$16=-1E+24,"No Slewing Foot Pads Deployed",IF(U32&gt;MAX(U6:U29),"ERROR - Slewing Foot Pad Pressure Exceeds Track Pressure","Slewing Foot Pad Pressure OK"))</f>
        <v>Slewing Foot Pad Pressure OK</v>
      </c>
      <c r="R39" s="103"/>
      <c r="S39" s="103"/>
      <c r="T39" s="103"/>
      <c r="U39" s="104"/>
      <c r="X39" s="916" t="s">
        <v>78</v>
      </c>
      <c r="Y39" s="916"/>
      <c r="Z39" s="419"/>
      <c r="AA39" s="420">
        <f>+G15</f>
        <v>0</v>
      </c>
      <c r="AB39" s="420">
        <f t="shared" si="53"/>
        <v>0</v>
      </c>
      <c r="AC39" s="420">
        <f t="shared" si="53"/>
        <v>-9.9999999999999992E-25</v>
      </c>
      <c r="AD39" s="420">
        <f>+J15</f>
        <v>0</v>
      </c>
      <c r="AE39" s="419">
        <f t="shared" si="55"/>
        <v>0</v>
      </c>
      <c r="AO39" s="503">
        <f>+AO36</f>
        <v>-2</v>
      </c>
      <c r="AP39" s="503">
        <f>+-1*AP36</f>
        <v>-1.907</v>
      </c>
      <c r="AQ39" s="503"/>
      <c r="AR39" s="503">
        <f>+AO39*-1</f>
        <v>2</v>
      </c>
      <c r="AS39" s="503">
        <f>+AP39</f>
        <v>-1.907</v>
      </c>
    </row>
    <row r="40" spans="1:68" ht="15.75" customHeight="1" thickBot="1" x14ac:dyDescent="0.3">
      <c r="A40" s="158"/>
      <c r="B40" s="154"/>
      <c r="C40" s="154"/>
      <c r="D40" s="155"/>
      <c r="E40" s="155"/>
      <c r="F40" s="155"/>
      <c r="G40" s="155"/>
      <c r="H40" s="155"/>
      <c r="I40" s="154"/>
      <c r="J40" s="154"/>
      <c r="K40" s="154"/>
      <c r="L40" s="107" t="s">
        <v>164</v>
      </c>
      <c r="M40" s="103"/>
      <c r="N40" s="15"/>
      <c r="P40" s="103"/>
      <c r="Q40" s="103" t="str">
        <f>IF($I$24=-1E+24,"No Non-Slewing Foot Pads Deployed",IF(U33&gt;MAX(U6:U29),"ERROR - Non-Slewing Foot Pad Pressure Exceeds Track Pressure","Non-Slewing Foot Pad Pressure OK"))</f>
        <v>Non-Slewing Foot Pad Pressure OK</v>
      </c>
      <c r="R40" s="103"/>
      <c r="S40" s="103"/>
      <c r="T40" s="103"/>
      <c r="U40" s="104"/>
      <c r="X40" s="419"/>
      <c r="Y40" s="419"/>
      <c r="Z40" s="419"/>
      <c r="AA40" s="419"/>
      <c r="AB40" s="419"/>
      <c r="AC40" s="419"/>
      <c r="AD40" s="421" t="s">
        <v>189</v>
      </c>
      <c r="AE40" s="422">
        <f>+MAX(AE36:AE39)</f>
        <v>0</v>
      </c>
      <c r="AO40" s="503">
        <f>+AO36</f>
        <v>-2</v>
      </c>
      <c r="AP40" s="503">
        <f>+AP36</f>
        <v>1.907</v>
      </c>
      <c r="AQ40" s="477"/>
      <c r="AR40" s="503">
        <f>+AR36</f>
        <v>2</v>
      </c>
      <c r="AS40" s="503">
        <f>+AS36</f>
        <v>1.907</v>
      </c>
    </row>
    <row r="41" spans="1:68" ht="15.75" customHeight="1" thickBot="1" x14ac:dyDescent="0.3">
      <c r="A41" s="153" t="s">
        <v>44</v>
      </c>
      <c r="B41" s="154"/>
      <c r="C41" s="154"/>
      <c r="D41" s="155"/>
      <c r="E41" s="155"/>
      <c r="F41" s="155"/>
      <c r="G41" s="155"/>
      <c r="H41" s="155"/>
      <c r="I41" s="154"/>
      <c r="J41" s="154"/>
      <c r="K41" s="154"/>
      <c r="L41" s="19"/>
      <c r="M41" s="20"/>
      <c r="N41" s="20"/>
      <c r="O41" s="20"/>
      <c r="P41" s="29"/>
      <c r="Q41" s="953" t="s">
        <v>54</v>
      </c>
      <c r="R41" s="954"/>
      <c r="S41" s="954"/>
      <c r="T41" s="955"/>
      <c r="U41" s="159">
        <v>1</v>
      </c>
      <c r="X41" s="419" t="s">
        <v>186</v>
      </c>
      <c r="Y41" s="419"/>
      <c r="Z41" s="419"/>
      <c r="AA41" s="419"/>
      <c r="AB41" s="419"/>
      <c r="AC41" s="419"/>
      <c r="AD41" s="419"/>
      <c r="AE41" s="419"/>
    </row>
    <row r="42" spans="1:68" ht="15.75" customHeight="1" x14ac:dyDescent="0.2">
      <c r="A42" s="956" t="s">
        <v>170</v>
      </c>
      <c r="B42" s="956"/>
      <c r="C42" s="956"/>
      <c r="D42" s="956"/>
      <c r="E42" s="956"/>
      <c r="F42" s="956"/>
      <c r="G42" s="956"/>
      <c r="H42" s="956"/>
      <c r="I42" s="956"/>
      <c r="J42" s="956"/>
      <c r="K42" s="956"/>
      <c r="R42" s="23"/>
      <c r="S42" s="22"/>
      <c r="T42" s="22"/>
      <c r="X42" s="916" t="s">
        <v>74</v>
      </c>
      <c r="Y42" s="916"/>
      <c r="Z42" s="419"/>
      <c r="AA42" s="420">
        <f>+G20</f>
        <v>0</v>
      </c>
      <c r="AB42" s="420">
        <f t="shared" ref="AB42:AD45" si="58">+H20</f>
        <v>0</v>
      </c>
      <c r="AC42" s="420">
        <f t="shared" si="58"/>
        <v>-9.9999999999999992E-25</v>
      </c>
      <c r="AD42" s="420">
        <f t="shared" si="58"/>
        <v>0</v>
      </c>
      <c r="AE42" s="419">
        <f t="shared" si="55"/>
        <v>0</v>
      </c>
    </row>
    <row r="43" spans="1:68" ht="15.75" customHeight="1" x14ac:dyDescent="0.2">
      <c r="A43" s="478" t="s">
        <v>169</v>
      </c>
      <c r="B43" s="154"/>
      <c r="C43" s="154"/>
      <c r="D43" s="154"/>
      <c r="E43" s="155"/>
      <c r="F43" s="155"/>
      <c r="G43" s="155"/>
      <c r="H43" s="155"/>
      <c r="I43" s="154"/>
      <c r="J43" s="154"/>
      <c r="K43" s="154"/>
      <c r="X43" s="916" t="s">
        <v>75</v>
      </c>
      <c r="Y43" s="916"/>
      <c r="Z43" s="419"/>
      <c r="AA43" s="420">
        <f t="shared" ref="AA43:AA45" si="59">+G21</f>
        <v>0</v>
      </c>
      <c r="AB43" s="420">
        <f t="shared" si="58"/>
        <v>0</v>
      </c>
      <c r="AC43" s="420">
        <f t="shared" si="58"/>
        <v>-9.9999999999999992E-25</v>
      </c>
      <c r="AD43" s="420">
        <f t="shared" si="58"/>
        <v>0</v>
      </c>
      <c r="AE43" s="419">
        <f t="shared" si="55"/>
        <v>0</v>
      </c>
    </row>
    <row r="44" spans="1:68" ht="15.75" customHeight="1" x14ac:dyDescent="0.2">
      <c r="A44" s="478" t="s">
        <v>171</v>
      </c>
      <c r="B44" s="154"/>
      <c r="C44" s="154"/>
      <c r="D44" s="154"/>
      <c r="E44" s="155"/>
      <c r="F44" s="155"/>
      <c r="G44" s="155"/>
      <c r="H44" s="155"/>
      <c r="I44" s="154"/>
      <c r="J44" s="154"/>
      <c r="K44" s="154"/>
      <c r="X44" s="916" t="s">
        <v>77</v>
      </c>
      <c r="Y44" s="916"/>
      <c r="Z44" s="419"/>
      <c r="AA44" s="420">
        <f t="shared" si="59"/>
        <v>0</v>
      </c>
      <c r="AB44" s="420">
        <f t="shared" si="58"/>
        <v>0</v>
      </c>
      <c r="AC44" s="420">
        <f t="shared" si="58"/>
        <v>-9.9999999999999992E-25</v>
      </c>
      <c r="AD44" s="420">
        <f t="shared" si="58"/>
        <v>0</v>
      </c>
      <c r="AE44" s="419">
        <f t="shared" si="55"/>
        <v>0</v>
      </c>
    </row>
    <row r="45" spans="1:68" ht="15.75" customHeight="1" x14ac:dyDescent="0.2">
      <c r="A45" s="478" t="s">
        <v>172</v>
      </c>
      <c r="B45" s="154"/>
      <c r="C45" s="154"/>
      <c r="D45" s="154"/>
      <c r="E45" s="155"/>
      <c r="F45" s="155"/>
      <c r="G45" s="155"/>
      <c r="H45" s="155"/>
      <c r="I45" s="154"/>
      <c r="J45" s="154"/>
      <c r="K45" s="154"/>
      <c r="X45" s="916" t="s">
        <v>78</v>
      </c>
      <c r="Y45" s="916"/>
      <c r="Z45" s="419"/>
      <c r="AA45" s="420">
        <f t="shared" si="59"/>
        <v>0</v>
      </c>
      <c r="AB45" s="420">
        <f t="shared" si="58"/>
        <v>0</v>
      </c>
      <c r="AC45" s="420">
        <f t="shared" si="58"/>
        <v>-9.9999999999999992E-25</v>
      </c>
      <c r="AD45" s="420">
        <f>+J23</f>
        <v>0</v>
      </c>
      <c r="AE45" s="419">
        <f t="shared" si="55"/>
        <v>0</v>
      </c>
    </row>
    <row r="46" spans="1:68" ht="15.75" customHeight="1" x14ac:dyDescent="0.2">
      <c r="A46" s="478" t="s">
        <v>173</v>
      </c>
      <c r="B46" s="154"/>
      <c r="C46" s="154"/>
      <c r="D46" s="154"/>
      <c r="E46" s="155"/>
      <c r="F46" s="155"/>
      <c r="G46" s="155"/>
      <c r="H46" s="155"/>
      <c r="I46" s="154"/>
      <c r="J46" s="154"/>
      <c r="K46" s="154"/>
      <c r="AD46" s="421" t="s">
        <v>189</v>
      </c>
      <c r="AE46" s="422">
        <f>+MAX(AE42:AE45)</f>
        <v>0</v>
      </c>
    </row>
    <row r="47" spans="1:68" ht="15.75" customHeight="1" x14ac:dyDescent="0.25">
      <c r="A47" s="478"/>
      <c r="B47" s="154"/>
      <c r="C47" s="154"/>
      <c r="D47" s="155"/>
      <c r="E47" s="155"/>
      <c r="F47" s="155"/>
      <c r="G47" s="157"/>
      <c r="H47" s="155"/>
      <c r="I47" s="154"/>
      <c r="J47" s="154"/>
      <c r="K47" s="154"/>
      <c r="R47" s="23"/>
    </row>
    <row r="48" spans="1:68" ht="15.75" customHeight="1" x14ac:dyDescent="0.2">
      <c r="A48" s="478" t="s">
        <v>49</v>
      </c>
      <c r="B48" s="154"/>
      <c r="C48" s="154"/>
      <c r="D48" s="155"/>
      <c r="E48" s="155"/>
      <c r="F48" s="155"/>
      <c r="G48" s="155"/>
      <c r="H48" s="155"/>
      <c r="I48" s="154"/>
      <c r="J48" s="154"/>
      <c r="K48" s="154"/>
      <c r="R48" s="23"/>
    </row>
    <row r="49" spans="1:17" ht="15.75" customHeight="1" x14ac:dyDescent="0.2">
      <c r="A49" s="478" t="s">
        <v>48</v>
      </c>
      <c r="B49" s="154"/>
      <c r="C49" s="154"/>
      <c r="D49" s="155"/>
      <c r="E49" s="155"/>
      <c r="F49" s="155"/>
      <c r="G49" s="155"/>
      <c r="H49" s="155"/>
      <c r="I49" s="154"/>
      <c r="J49" s="154"/>
      <c r="K49" s="154"/>
      <c r="M49" s="1"/>
      <c r="N49" s="1"/>
      <c r="O49" s="1"/>
      <c r="P49" s="1"/>
      <c r="Q49" s="1"/>
    </row>
    <row r="50" spans="1:17" ht="15.75" customHeight="1" x14ac:dyDescent="0.2">
      <c r="A50" s="154" t="s">
        <v>45</v>
      </c>
      <c r="B50" s="154"/>
      <c r="C50" s="154"/>
      <c r="D50" s="155"/>
      <c r="E50" s="155"/>
      <c r="F50" s="155"/>
      <c r="G50" s="155"/>
      <c r="H50" s="155"/>
      <c r="I50" s="154"/>
      <c r="J50" s="154"/>
      <c r="K50" s="154"/>
      <c r="L50" s="24"/>
    </row>
    <row r="51" spans="1:17" ht="15.75" customHeight="1" x14ac:dyDescent="0.2">
      <c r="A51" s="154" t="s">
        <v>46</v>
      </c>
      <c r="B51" s="154"/>
      <c r="C51" s="154"/>
      <c r="D51" s="155"/>
      <c r="E51" s="155"/>
      <c r="F51" s="155"/>
      <c r="G51" s="155"/>
      <c r="H51" s="155"/>
      <c r="I51" s="154"/>
      <c r="J51" s="154"/>
      <c r="K51" s="154"/>
    </row>
    <row r="52" spans="1:17" ht="15.75" customHeight="1" x14ac:dyDescent="0.2">
      <c r="A52" s="158"/>
      <c r="B52" s="154"/>
      <c r="C52" s="154"/>
      <c r="D52" s="155"/>
      <c r="E52" s="155"/>
      <c r="F52" s="155"/>
      <c r="G52" s="155"/>
      <c r="H52" s="155"/>
      <c r="I52" s="154"/>
      <c r="J52" s="154"/>
      <c r="K52" s="154"/>
    </row>
    <row r="53" spans="1:17" ht="15.75" customHeight="1" x14ac:dyDescent="0.25">
      <c r="A53" s="276" t="s">
        <v>47</v>
      </c>
      <c r="B53" s="154"/>
      <c r="C53" s="155"/>
      <c r="D53" s="155"/>
      <c r="E53" s="155"/>
      <c r="F53" s="276" t="s">
        <v>64</v>
      </c>
      <c r="G53" s="155"/>
      <c r="H53" s="155"/>
      <c r="I53" s="154"/>
      <c r="J53" s="154"/>
      <c r="K53" s="154"/>
    </row>
    <row r="54" spans="1:17" ht="15.75" customHeight="1" x14ac:dyDescent="0.2">
      <c r="A54" s="1"/>
      <c r="D54" s="1"/>
      <c r="E54" s="1"/>
      <c r="F54" s="1"/>
      <c r="G54" s="1"/>
      <c r="K54" s="24"/>
    </row>
    <row r="55" spans="1:17" ht="15.75" customHeight="1" x14ac:dyDescent="0.2">
      <c r="G55" s="1"/>
    </row>
    <row r="56" spans="1:17" x14ac:dyDescent="0.2">
      <c r="G56" s="1"/>
    </row>
    <row r="57" spans="1:17" x14ac:dyDescent="0.2">
      <c r="G57" s="1"/>
    </row>
    <row r="58" spans="1:17" ht="15" x14ac:dyDescent="0.2">
      <c r="G58" s="1"/>
      <c r="L58" s="24"/>
    </row>
    <row r="59" spans="1:17" ht="15" x14ac:dyDescent="0.2">
      <c r="G59" s="1"/>
      <c r="L59" s="24"/>
    </row>
    <row r="60" spans="1:17" ht="15" x14ac:dyDescent="0.2">
      <c r="L60" s="24"/>
    </row>
    <row r="61" spans="1:17" ht="15" x14ac:dyDescent="0.2">
      <c r="L61" s="24"/>
    </row>
  </sheetData>
  <sheetProtection sheet="1" objects="1" scenarios="1"/>
  <mergeCells count="123">
    <mergeCell ref="X44:Y44"/>
    <mergeCell ref="X45:Y45"/>
    <mergeCell ref="X38:Y38"/>
    <mergeCell ref="X39:Y39"/>
    <mergeCell ref="Q41:T41"/>
    <mergeCell ref="A42:K42"/>
    <mergeCell ref="X42:Y42"/>
    <mergeCell ref="X43:Y43"/>
    <mergeCell ref="A35:D35"/>
    <mergeCell ref="E35:J35"/>
    <mergeCell ref="A36:D36"/>
    <mergeCell ref="E36:J36"/>
    <mergeCell ref="X36:Y36"/>
    <mergeCell ref="A37:D37"/>
    <mergeCell ref="E37:J37"/>
    <mergeCell ref="X37:Y37"/>
    <mergeCell ref="X32:Y34"/>
    <mergeCell ref="AA32:AA34"/>
    <mergeCell ref="AB32:AB34"/>
    <mergeCell ref="AC32:AC34"/>
    <mergeCell ref="AD32:AD34"/>
    <mergeCell ref="A33:D33"/>
    <mergeCell ref="E33:J33"/>
    <mergeCell ref="A34:D34"/>
    <mergeCell ref="E34:J34"/>
    <mergeCell ref="P34:S34"/>
    <mergeCell ref="R30:S30"/>
    <mergeCell ref="A32:D32"/>
    <mergeCell ref="E32:J32"/>
    <mergeCell ref="G24:H24"/>
    <mergeCell ref="G26:H26"/>
    <mergeCell ref="I26:J26"/>
    <mergeCell ref="A27:A28"/>
    <mergeCell ref="B27:B28"/>
    <mergeCell ref="C27:C28"/>
    <mergeCell ref="D27:D28"/>
    <mergeCell ref="E27:E28"/>
    <mergeCell ref="F27:F28"/>
    <mergeCell ref="G27:H27"/>
    <mergeCell ref="A24:A25"/>
    <mergeCell ref="B24:B25"/>
    <mergeCell ref="C24:C25"/>
    <mergeCell ref="D24:D25"/>
    <mergeCell ref="E24:E25"/>
    <mergeCell ref="F24:F25"/>
    <mergeCell ref="A18:F18"/>
    <mergeCell ref="G18:G19"/>
    <mergeCell ref="H18:H19"/>
    <mergeCell ref="I18:I19"/>
    <mergeCell ref="J18:J19"/>
    <mergeCell ref="AV4:AV5"/>
    <mergeCell ref="I27:J27"/>
    <mergeCell ref="G28:H28"/>
    <mergeCell ref="I28:J28"/>
    <mergeCell ref="G6:G7"/>
    <mergeCell ref="H6:H7"/>
    <mergeCell ref="O2:O5"/>
    <mergeCell ref="I10:I11"/>
    <mergeCell ref="J10:J11"/>
    <mergeCell ref="G16:H16"/>
    <mergeCell ref="A3:F3"/>
    <mergeCell ref="T3:U3"/>
    <mergeCell ref="AO3:AO5"/>
    <mergeCell ref="AP3:AP5"/>
    <mergeCell ref="AQ3:AQ5"/>
    <mergeCell ref="AM2:AM5"/>
    <mergeCell ref="AO2:AS2"/>
    <mergeCell ref="X2:X5"/>
    <mergeCell ref="Y2:Y5"/>
    <mergeCell ref="B1:B2"/>
    <mergeCell ref="C1:C2"/>
    <mergeCell ref="D1:D2"/>
    <mergeCell ref="E1:E2"/>
    <mergeCell ref="F1:F2"/>
    <mergeCell ref="L1:O1"/>
    <mergeCell ref="L2:L5"/>
    <mergeCell ref="M2:M5"/>
    <mergeCell ref="N2:N5"/>
    <mergeCell ref="BR2:BS2"/>
    <mergeCell ref="AS3:AS5"/>
    <mergeCell ref="AU3:AU5"/>
    <mergeCell ref="AV3:AW3"/>
    <mergeCell ref="AX3:AX5"/>
    <mergeCell ref="AE2:AE3"/>
    <mergeCell ref="AG2:AG3"/>
    <mergeCell ref="AH2:AH3"/>
    <mergeCell ref="AI2:AI3"/>
    <mergeCell ref="AJ2:AJ3"/>
    <mergeCell ref="AK2:AK3"/>
    <mergeCell ref="BO3:BO5"/>
    <mergeCell ref="BP3:BP5"/>
    <mergeCell ref="BR3:BS4"/>
    <mergeCell ref="AY3:AY5"/>
    <mergeCell ref="BA3:BA5"/>
    <mergeCell ref="BB3:BB5"/>
    <mergeCell ref="BC3:BC5"/>
    <mergeCell ref="BD3:BD5"/>
    <mergeCell ref="BF3:BF5"/>
    <mergeCell ref="AW4:AW5"/>
    <mergeCell ref="BH4:BH5"/>
    <mergeCell ref="BI4:BI5"/>
    <mergeCell ref="BJ4:BJ5"/>
    <mergeCell ref="AG1:AK1"/>
    <mergeCell ref="AM1:BM1"/>
    <mergeCell ref="P2:P5"/>
    <mergeCell ref="Q2:Q5"/>
    <mergeCell ref="R2:S2"/>
    <mergeCell ref="W2:W5"/>
    <mergeCell ref="BA2:BD2"/>
    <mergeCell ref="BF2:BI2"/>
    <mergeCell ref="BG3:BG5"/>
    <mergeCell ref="BL3:BL5"/>
    <mergeCell ref="BM3:BM5"/>
    <mergeCell ref="AR3:AR5"/>
    <mergeCell ref="AU2:AY2"/>
    <mergeCell ref="AA2:AA3"/>
    <mergeCell ref="AB2:AB3"/>
    <mergeCell ref="AC2:AC3"/>
    <mergeCell ref="AD2:AD3"/>
    <mergeCell ref="P1:S1"/>
    <mergeCell ref="T1:U2"/>
    <mergeCell ref="W1:Y1"/>
    <mergeCell ref="AA1:AE1"/>
  </mergeCells>
  <conditionalFormatting sqref="G25">
    <cfRule type="cellIs" dxfId="54" priority="13" operator="greaterThan">
      <formula>H25</formula>
    </cfRule>
  </conditionalFormatting>
  <conditionalFormatting sqref="G9">
    <cfRule type="cellIs" dxfId="53" priority="12" operator="greaterThan">
      <formula>$H$9</formula>
    </cfRule>
  </conditionalFormatting>
  <conditionalFormatting sqref="G11">
    <cfRule type="cellIs" dxfId="52" priority="11" operator="greaterThan">
      <formula>$H$11</formula>
    </cfRule>
  </conditionalFormatting>
  <conditionalFormatting sqref="G10">
    <cfRule type="cellIs" dxfId="51" priority="3" operator="greaterThan">
      <formula>0</formula>
    </cfRule>
    <cfRule type="cellIs" dxfId="50" priority="10" operator="lessThan">
      <formula>$H$10</formula>
    </cfRule>
  </conditionalFormatting>
  <conditionalFormatting sqref="W6:W29">
    <cfRule type="containsText" dxfId="49" priority="9" operator="containsText" text="Front">
      <formula>NOT(ISERROR(SEARCH("Front",W6)))</formula>
    </cfRule>
  </conditionalFormatting>
  <conditionalFormatting sqref="W6:W29">
    <cfRule type="containsText" dxfId="48" priority="8" operator="containsText" text="Rear">
      <formula>NOT(ISERROR(SEARCH("Rear",W6)))</formula>
    </cfRule>
  </conditionalFormatting>
  <conditionalFormatting sqref="G12:G15">
    <cfRule type="cellIs" dxfId="47" priority="6" operator="greaterThan">
      <formula>0</formula>
    </cfRule>
    <cfRule type="cellIs" dxfId="46" priority="7" operator="lessThan">
      <formula>$H12</formula>
    </cfRule>
  </conditionalFormatting>
  <conditionalFormatting sqref="G20:G23">
    <cfRule type="cellIs" dxfId="45" priority="4" operator="greaterThan">
      <formula>0</formula>
    </cfRule>
    <cfRule type="cellIs" dxfId="44" priority="5" operator="lessThan">
      <formula>$H20</formula>
    </cfRule>
  </conditionalFormatting>
  <dataValidations count="1">
    <dataValidation type="list" allowBlank="1" showInputMessage="1" showErrorMessage="1" sqref="U41">
      <formula1>"0,1,2"</formula1>
    </dataValidation>
  </dataValidations>
  <pageMargins left="0.7" right="0.7" top="0.75" bottom="0.75" header="0.3" footer="0.3"/>
  <pageSetup paperSize="9" scale="5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zoomScale="75" zoomScaleNormal="75" workbookViewId="0">
      <selection activeCell="O5" sqref="O5"/>
    </sheetView>
  </sheetViews>
  <sheetFormatPr defaultRowHeight="12.75" x14ac:dyDescent="0.2"/>
  <cols>
    <col min="1" max="1" width="23.375" style="21" customWidth="1"/>
    <col min="2" max="3" width="10.625" style="1" customWidth="1"/>
    <col min="4" max="8" width="10.625" style="22" customWidth="1"/>
    <col min="9" max="10" width="10.625" style="1" customWidth="1"/>
    <col min="11" max="11" width="29.75" style="1" customWidth="1"/>
    <col min="12" max="12" width="11" style="1" customWidth="1"/>
    <col min="13" max="13" width="9.125" style="22" hidden="1" customWidth="1"/>
    <col min="14" max="17" width="9.125" style="22" customWidth="1"/>
    <col min="18" max="19" width="9" style="1"/>
    <col min="20" max="20" width="9.375" style="1" bestFit="1" customWidth="1"/>
    <col min="21" max="25" width="9" style="1"/>
    <col min="26" max="26" width="3.5" style="1" customWidth="1"/>
    <col min="27" max="31" width="9.125" style="1" customWidth="1"/>
    <col min="32" max="32" width="3.5" style="1" customWidth="1"/>
    <col min="33" max="37" width="9.125" style="1" customWidth="1"/>
    <col min="38" max="38" width="2.875" style="114" customWidth="1"/>
    <col min="39" max="39" width="9" style="1"/>
    <col min="40" max="40" width="3.25" style="1" customWidth="1"/>
    <col min="41" max="45" width="9" style="1"/>
    <col min="46" max="46" width="3.25" style="1" customWidth="1"/>
    <col min="47" max="51" width="9" style="1"/>
    <col min="52" max="52" width="3.25" style="1" customWidth="1"/>
    <col min="53" max="53" width="9" style="1"/>
    <col min="54" max="54" width="11" style="1" bestFit="1" customWidth="1"/>
    <col min="55" max="56" width="9" style="1"/>
    <col min="57" max="57" width="3.5" style="1" customWidth="1"/>
    <col min="58" max="59" width="9" style="1"/>
    <col min="60" max="60" width="9.125" style="1" bestFit="1" customWidth="1"/>
    <col min="61" max="61" width="9.75" style="1" bestFit="1" customWidth="1"/>
    <col min="62" max="62" width="9.75" style="1" customWidth="1"/>
    <col min="63" max="63" width="3.5" style="1" customWidth="1"/>
    <col min="64" max="65" width="9" style="1"/>
    <col min="66" max="66" width="3.625" style="1" customWidth="1"/>
    <col min="67" max="67" width="10.875" style="1" customWidth="1"/>
    <col min="68" max="68" width="10.25" style="1" customWidth="1"/>
    <col min="69" max="69" width="3.375" style="1" customWidth="1"/>
    <col min="70" max="71" width="11.25" style="1" customWidth="1"/>
    <col min="72" max="16384" width="9" style="1"/>
  </cols>
  <sheetData>
    <row r="1" spans="1:71" s="479" customFormat="1" ht="74.25" customHeight="1" thickTop="1" thickBot="1" x14ac:dyDescent="0.35">
      <c r="A1" s="30" t="str">
        <f>'Input Page'!C4</f>
        <v>EXAMPLE</v>
      </c>
      <c r="B1" s="835" t="s">
        <v>174</v>
      </c>
      <c r="C1" s="835" t="s">
        <v>67</v>
      </c>
      <c r="D1" s="846" t="s">
        <v>68</v>
      </c>
      <c r="E1" s="815" t="s">
        <v>86</v>
      </c>
      <c r="F1" s="833" t="s">
        <v>87</v>
      </c>
      <c r="G1" s="166"/>
      <c r="H1" s="167"/>
      <c r="I1" s="168"/>
      <c r="J1" s="168"/>
      <c r="K1" s="168"/>
      <c r="L1" s="928" t="s">
        <v>38</v>
      </c>
      <c r="M1" s="929"/>
      <c r="N1" s="929"/>
      <c r="O1" s="929"/>
      <c r="P1" s="923" t="s">
        <v>41</v>
      </c>
      <c r="Q1" s="924"/>
      <c r="R1" s="924"/>
      <c r="S1" s="925"/>
      <c r="T1" s="934" t="s">
        <v>25</v>
      </c>
      <c r="U1" s="935"/>
      <c r="V1" s="1"/>
      <c r="W1" s="926" t="s">
        <v>141</v>
      </c>
      <c r="X1" s="927"/>
      <c r="Y1" s="927"/>
      <c r="Z1" s="547"/>
      <c r="AA1" s="969" t="s">
        <v>27</v>
      </c>
      <c r="AB1" s="969"/>
      <c r="AC1" s="969"/>
      <c r="AD1" s="969"/>
      <c r="AE1" s="969"/>
      <c r="AF1" s="547"/>
      <c r="AG1" s="969" t="s">
        <v>11</v>
      </c>
      <c r="AH1" s="969"/>
      <c r="AI1" s="969"/>
      <c r="AJ1" s="969"/>
      <c r="AK1" s="970"/>
      <c r="AL1" s="56"/>
      <c r="AM1" s="959" t="s">
        <v>96</v>
      </c>
      <c r="AN1" s="960"/>
      <c r="AO1" s="960"/>
      <c r="AP1" s="960"/>
      <c r="AQ1" s="960"/>
      <c r="AR1" s="960"/>
      <c r="AS1" s="960"/>
      <c r="AT1" s="960"/>
      <c r="AU1" s="960"/>
      <c r="AV1" s="960"/>
      <c r="AW1" s="960"/>
      <c r="AX1" s="960"/>
      <c r="AY1" s="960"/>
      <c r="AZ1" s="960"/>
      <c r="BA1" s="960"/>
      <c r="BB1" s="960"/>
      <c r="BC1" s="960"/>
      <c r="BD1" s="960"/>
      <c r="BE1" s="960"/>
      <c r="BF1" s="960"/>
      <c r="BG1" s="960"/>
      <c r="BH1" s="960"/>
      <c r="BI1" s="960"/>
      <c r="BJ1" s="960"/>
      <c r="BK1" s="960"/>
      <c r="BL1" s="960"/>
      <c r="BM1" s="961"/>
    </row>
    <row r="2" spans="1:71" s="479" customFormat="1" ht="27.75" customHeight="1" thickTop="1" thickBot="1" x14ac:dyDescent="0.35">
      <c r="A2" s="405" t="str">
        <f>'Input Page'!G4</f>
        <v>ZX1000</v>
      </c>
      <c r="B2" s="836"/>
      <c r="C2" s="836"/>
      <c r="D2" s="847"/>
      <c r="E2" s="816"/>
      <c r="F2" s="834"/>
      <c r="G2" s="167"/>
      <c r="H2" s="167"/>
      <c r="I2" s="168"/>
      <c r="J2" s="168"/>
      <c r="K2" s="168"/>
      <c r="L2" s="871" t="s">
        <v>12</v>
      </c>
      <c r="M2" s="873" t="s">
        <v>13</v>
      </c>
      <c r="N2" s="873" t="s">
        <v>126</v>
      </c>
      <c r="O2" s="873" t="s">
        <v>127</v>
      </c>
      <c r="P2" s="873" t="s">
        <v>128</v>
      </c>
      <c r="Q2" s="930" t="s">
        <v>129</v>
      </c>
      <c r="R2" s="875" t="s">
        <v>26</v>
      </c>
      <c r="S2" s="876"/>
      <c r="T2" s="936"/>
      <c r="U2" s="937"/>
      <c r="V2" s="1"/>
      <c r="W2" s="888" t="s">
        <v>125</v>
      </c>
      <c r="X2" s="889" t="s">
        <v>130</v>
      </c>
      <c r="Y2" s="889" t="s">
        <v>131</v>
      </c>
      <c r="Z2" s="2"/>
      <c r="AA2" s="897" t="s">
        <v>132</v>
      </c>
      <c r="AB2" s="895" t="s">
        <v>135</v>
      </c>
      <c r="AC2" s="896" t="s">
        <v>134</v>
      </c>
      <c r="AD2" s="898" t="s">
        <v>137</v>
      </c>
      <c r="AE2" s="899" t="s">
        <v>139</v>
      </c>
      <c r="AF2" s="2"/>
      <c r="AG2" s="897" t="s">
        <v>132</v>
      </c>
      <c r="AH2" s="895" t="s">
        <v>140</v>
      </c>
      <c r="AI2" s="896" t="s">
        <v>134</v>
      </c>
      <c r="AJ2" s="898" t="s">
        <v>137</v>
      </c>
      <c r="AK2" s="971" t="s">
        <v>139</v>
      </c>
      <c r="AL2" s="111"/>
      <c r="AM2" s="868" t="s">
        <v>120</v>
      </c>
      <c r="AN2" s="516"/>
      <c r="AO2" s="880" t="s">
        <v>97</v>
      </c>
      <c r="AP2" s="881"/>
      <c r="AQ2" s="881"/>
      <c r="AR2" s="881"/>
      <c r="AS2" s="882"/>
      <c r="AT2" s="517"/>
      <c r="AU2" s="964" t="s">
        <v>113</v>
      </c>
      <c r="AV2" s="965"/>
      <c r="AW2" s="965"/>
      <c r="AX2" s="965"/>
      <c r="AY2" s="966"/>
      <c r="AZ2" s="517"/>
      <c r="BA2" s="877" t="s">
        <v>118</v>
      </c>
      <c r="BB2" s="878"/>
      <c r="BC2" s="878"/>
      <c r="BD2" s="879"/>
      <c r="BE2" s="518"/>
      <c r="BF2" s="890" t="s">
        <v>106</v>
      </c>
      <c r="BG2" s="891"/>
      <c r="BH2" s="891"/>
      <c r="BI2" s="892"/>
      <c r="BJ2" s="570"/>
      <c r="BK2" s="518"/>
      <c r="BL2" s="518"/>
      <c r="BM2" s="520"/>
      <c r="BR2" s="885" t="s">
        <v>210</v>
      </c>
      <c r="BS2" s="886"/>
    </row>
    <row r="3" spans="1:71" ht="19.5" customHeight="1" thickBot="1" x14ac:dyDescent="0.25">
      <c r="A3" s="837" t="s">
        <v>153</v>
      </c>
      <c r="B3" s="838"/>
      <c r="C3" s="838"/>
      <c r="D3" s="838"/>
      <c r="E3" s="838"/>
      <c r="F3" s="839"/>
      <c r="G3" s="167"/>
      <c r="H3" s="167"/>
      <c r="I3" s="168"/>
      <c r="J3" s="168"/>
      <c r="K3" s="168"/>
      <c r="L3" s="872"/>
      <c r="M3" s="874"/>
      <c r="N3" s="874"/>
      <c r="O3" s="874"/>
      <c r="P3" s="874"/>
      <c r="Q3" s="931"/>
      <c r="R3" s="3" t="s">
        <v>4</v>
      </c>
      <c r="S3" s="4" t="s">
        <v>5</v>
      </c>
      <c r="T3" s="932" t="s">
        <v>6</v>
      </c>
      <c r="U3" s="933"/>
      <c r="W3" s="888"/>
      <c r="X3" s="889"/>
      <c r="Y3" s="889"/>
      <c r="Z3" s="2"/>
      <c r="AA3" s="897"/>
      <c r="AB3" s="895"/>
      <c r="AC3" s="896"/>
      <c r="AD3" s="898"/>
      <c r="AE3" s="899"/>
      <c r="AF3" s="2"/>
      <c r="AG3" s="897"/>
      <c r="AH3" s="895"/>
      <c r="AI3" s="896"/>
      <c r="AJ3" s="898"/>
      <c r="AK3" s="971"/>
      <c r="AL3" s="111"/>
      <c r="AM3" s="869"/>
      <c r="AN3" s="52"/>
      <c r="AO3" s="867" t="s">
        <v>98</v>
      </c>
      <c r="AP3" s="870" t="s">
        <v>99</v>
      </c>
      <c r="AQ3" s="870" t="s">
        <v>100</v>
      </c>
      <c r="AR3" s="870" t="s">
        <v>101</v>
      </c>
      <c r="AS3" s="908" t="s">
        <v>102</v>
      </c>
      <c r="AT3" s="48"/>
      <c r="AU3" s="867" t="s">
        <v>98</v>
      </c>
      <c r="AV3" s="910" t="s">
        <v>103</v>
      </c>
      <c r="AW3" s="910"/>
      <c r="AX3" s="865" t="s">
        <v>104</v>
      </c>
      <c r="AY3" s="866" t="s">
        <v>105</v>
      </c>
      <c r="AZ3" s="47"/>
      <c r="BA3" s="905" t="s">
        <v>99</v>
      </c>
      <c r="BB3" s="906" t="s">
        <v>111</v>
      </c>
      <c r="BC3" s="909" t="s">
        <v>101</v>
      </c>
      <c r="BD3" s="907" t="s">
        <v>102</v>
      </c>
      <c r="BE3" s="2"/>
      <c r="BF3" s="904" t="s">
        <v>101</v>
      </c>
      <c r="BG3" s="887" t="s">
        <v>102</v>
      </c>
      <c r="BH3" s="59" t="s">
        <v>107</v>
      </c>
      <c r="BI3" s="127"/>
      <c r="BJ3" s="59"/>
      <c r="BK3" s="2"/>
      <c r="BL3" s="848" t="s">
        <v>112</v>
      </c>
      <c r="BM3" s="893" t="s">
        <v>119</v>
      </c>
      <c r="BN3" s="119"/>
      <c r="BO3" s="848" t="s">
        <v>228</v>
      </c>
      <c r="BP3" s="850" t="s">
        <v>229</v>
      </c>
      <c r="BR3" s="883" t="s">
        <v>123</v>
      </c>
      <c r="BS3" s="884"/>
    </row>
    <row r="4" spans="1:71" ht="20.100000000000001" customHeight="1" x14ac:dyDescent="0.35">
      <c r="A4" s="169" t="s">
        <v>84</v>
      </c>
      <c r="B4" s="170">
        <f>+'Input Page'!D32</f>
        <v>54.936</v>
      </c>
      <c r="C4" s="171">
        <f>+'Input Page'!E32</f>
        <v>9.9999999999999992E-25</v>
      </c>
      <c r="D4" s="171">
        <f>+'Input Page'!F32</f>
        <v>2.74</v>
      </c>
      <c r="E4" s="170">
        <f>+'Input Page'!G32</f>
        <v>-150.52464000000001</v>
      </c>
      <c r="F4" s="172">
        <f>+'Input Page'!H32</f>
        <v>0</v>
      </c>
      <c r="G4" s="167"/>
      <c r="H4" s="167"/>
      <c r="I4" s="168"/>
      <c r="J4" s="168"/>
      <c r="K4" s="168"/>
      <c r="L4" s="872"/>
      <c r="M4" s="874"/>
      <c r="N4" s="874"/>
      <c r="O4" s="874"/>
      <c r="P4" s="874"/>
      <c r="Q4" s="931"/>
      <c r="R4" s="3" t="s">
        <v>7</v>
      </c>
      <c r="S4" s="5" t="s">
        <v>8</v>
      </c>
      <c r="T4" s="3" t="s">
        <v>9</v>
      </c>
      <c r="U4" s="6" t="s">
        <v>10</v>
      </c>
      <c r="W4" s="888"/>
      <c r="X4" s="889"/>
      <c r="Y4" s="889"/>
      <c r="Z4" s="2"/>
      <c r="AA4" s="88" t="s">
        <v>144</v>
      </c>
      <c r="AB4" s="86" t="s">
        <v>133</v>
      </c>
      <c r="AC4" s="88" t="s">
        <v>136</v>
      </c>
      <c r="AD4" s="88" t="s">
        <v>138</v>
      </c>
      <c r="AE4" s="88" t="s">
        <v>143</v>
      </c>
      <c r="AF4" s="2"/>
      <c r="AG4" s="88" t="s">
        <v>145</v>
      </c>
      <c r="AH4" s="86" t="s">
        <v>133</v>
      </c>
      <c r="AI4" s="88" t="s">
        <v>136</v>
      </c>
      <c r="AJ4" s="88" t="s">
        <v>138</v>
      </c>
      <c r="AK4" s="548" t="s">
        <v>143</v>
      </c>
      <c r="AL4" s="112"/>
      <c r="AM4" s="869"/>
      <c r="AN4" s="52"/>
      <c r="AO4" s="867"/>
      <c r="AP4" s="870"/>
      <c r="AQ4" s="870"/>
      <c r="AR4" s="870"/>
      <c r="AS4" s="908"/>
      <c r="AT4" s="49"/>
      <c r="AU4" s="867"/>
      <c r="AV4" s="967" t="s">
        <v>99</v>
      </c>
      <c r="AW4" s="967" t="s">
        <v>100</v>
      </c>
      <c r="AX4" s="865"/>
      <c r="AY4" s="866"/>
      <c r="AZ4" s="47"/>
      <c r="BA4" s="905"/>
      <c r="BB4" s="906"/>
      <c r="BC4" s="909"/>
      <c r="BD4" s="907"/>
      <c r="BE4" s="2"/>
      <c r="BF4" s="904"/>
      <c r="BG4" s="887"/>
      <c r="BH4" s="900" t="s">
        <v>108</v>
      </c>
      <c r="BI4" s="902" t="s">
        <v>109</v>
      </c>
      <c r="BJ4" s="887" t="s">
        <v>124</v>
      </c>
      <c r="BK4" s="2"/>
      <c r="BL4" s="849"/>
      <c r="BM4" s="894"/>
      <c r="BN4" s="119"/>
      <c r="BO4" s="849"/>
      <c r="BP4" s="851"/>
      <c r="BR4" s="883"/>
      <c r="BS4" s="884"/>
    </row>
    <row r="5" spans="1:71" ht="20.100000000000001" customHeight="1" thickBot="1" x14ac:dyDescent="0.25">
      <c r="A5" s="630" t="s">
        <v>236</v>
      </c>
      <c r="B5" s="173">
        <f>+'Input Page'!D34</f>
        <v>70.141499999999994</v>
      </c>
      <c r="C5" s="174">
        <f>+'Input Page'!E34</f>
        <v>-0.30069930069930073</v>
      </c>
      <c r="D5" s="174">
        <f>+'Input Page'!F34</f>
        <v>3.4671328671328676</v>
      </c>
      <c r="E5" s="173">
        <f>+'Input Page'!G34</f>
        <v>-243.18990000000002</v>
      </c>
      <c r="F5" s="175">
        <f>+'Input Page'!H34</f>
        <v>-21.0915</v>
      </c>
      <c r="G5" s="167"/>
      <c r="H5" s="167"/>
      <c r="I5" s="176"/>
      <c r="J5" s="176"/>
      <c r="K5" s="176"/>
      <c r="L5" s="872"/>
      <c r="M5" s="874"/>
      <c r="N5" s="874"/>
      <c r="O5" s="874"/>
      <c r="P5" s="874"/>
      <c r="Q5" s="931"/>
      <c r="R5" s="81"/>
      <c r="S5" s="82"/>
      <c r="T5" s="83"/>
      <c r="U5" s="6"/>
      <c r="W5" s="888"/>
      <c r="X5" s="889"/>
      <c r="Y5" s="889"/>
      <c r="Z5" s="2"/>
      <c r="AA5" s="88" t="s">
        <v>146</v>
      </c>
      <c r="AB5" s="87" t="s">
        <v>7</v>
      </c>
      <c r="AC5" s="86" t="s">
        <v>7</v>
      </c>
      <c r="AD5" s="88" t="s">
        <v>7</v>
      </c>
      <c r="AE5" s="88" t="s">
        <v>142</v>
      </c>
      <c r="AF5" s="2"/>
      <c r="AG5" s="88" t="s">
        <v>146</v>
      </c>
      <c r="AH5" s="87" t="s">
        <v>7</v>
      </c>
      <c r="AI5" s="86" t="s">
        <v>7</v>
      </c>
      <c r="AJ5" s="88" t="s">
        <v>7</v>
      </c>
      <c r="AK5" s="548" t="s">
        <v>142</v>
      </c>
      <c r="AL5" s="112"/>
      <c r="AM5" s="869"/>
      <c r="AN5" s="52"/>
      <c r="AO5" s="867"/>
      <c r="AP5" s="870"/>
      <c r="AQ5" s="870"/>
      <c r="AR5" s="870"/>
      <c r="AS5" s="908"/>
      <c r="AT5" s="48"/>
      <c r="AU5" s="867"/>
      <c r="AV5" s="968"/>
      <c r="AW5" s="968"/>
      <c r="AX5" s="865"/>
      <c r="AY5" s="866"/>
      <c r="AZ5" s="47"/>
      <c r="BA5" s="905"/>
      <c r="BB5" s="906"/>
      <c r="BC5" s="909"/>
      <c r="BD5" s="907"/>
      <c r="BE5" s="2"/>
      <c r="BF5" s="904"/>
      <c r="BG5" s="887"/>
      <c r="BH5" s="901"/>
      <c r="BI5" s="903"/>
      <c r="BJ5" s="887"/>
      <c r="BK5" s="2"/>
      <c r="BL5" s="849"/>
      <c r="BM5" s="894"/>
      <c r="BN5" s="119"/>
      <c r="BO5" s="849"/>
      <c r="BP5" s="851"/>
      <c r="BR5" s="507" t="s">
        <v>121</v>
      </c>
      <c r="BS5" s="512" t="s">
        <v>122</v>
      </c>
    </row>
    <row r="6" spans="1:71" ht="20.100000000000001" customHeight="1" x14ac:dyDescent="0.25">
      <c r="A6" s="177" t="s">
        <v>83</v>
      </c>
      <c r="B6" s="178">
        <f>+'Input Page'!D35</f>
        <v>39.24</v>
      </c>
      <c r="C6" s="179">
        <f>+'Input Page'!E35</f>
        <v>9.9999999999999992E-25</v>
      </c>
      <c r="D6" s="179">
        <f>+'Input Page'!F35</f>
        <v>-2.4500000000000002</v>
      </c>
      <c r="E6" s="178">
        <f>+'Input Page'!G35</f>
        <v>96.138000000000005</v>
      </c>
      <c r="F6" s="180">
        <f>+'Input Page'!H35</f>
        <v>0</v>
      </c>
      <c r="G6" s="817" t="s">
        <v>90</v>
      </c>
      <c r="H6" s="921" t="s">
        <v>89</v>
      </c>
      <c r="I6" s="181"/>
      <c r="J6" s="182"/>
      <c r="K6" s="176"/>
      <c r="L6" s="412">
        <v>0</v>
      </c>
      <c r="M6" s="7">
        <f t="shared" ref="M6:M29" si="0">+IF(ABS(BI6)&gt;$I$26/2,"ERROR",IF(ABS(BI6)&gt;$I$26/6,$B$27/(3*($I$26/2-ABS(BI6))*2*$I$27),$B$27/(2*$I$26*$I$27)))</f>
        <v>72.513765076035654</v>
      </c>
      <c r="N6" s="7">
        <f t="shared" ref="N6:N29" si="1">+((($I$28/2)-$BH6)*Y6*2)/$I$28</f>
        <v>141.85209063686321</v>
      </c>
      <c r="O6" s="7">
        <f t="shared" ref="O6:O29" si="2">+((($I$28/2)-$BH6)*X6*2)/$I$28</f>
        <v>7.963336463566538</v>
      </c>
      <c r="P6" s="7">
        <f t="shared" ref="P6:P29" si="3">+(BH6+$I$28/2)*Y6*2/$I$28</f>
        <v>132.78529150911768</v>
      </c>
      <c r="Q6" s="8">
        <f t="shared" ref="Q6:Q29" si="4">+((BH6+$I$28/2)*X6*2)/$I$28</f>
        <v>7.4543416945952172</v>
      </c>
      <c r="R6" s="77">
        <f>+IF(N6&gt;P6,AB6,AH6)</f>
        <v>0.56808981369080991</v>
      </c>
      <c r="S6" s="78">
        <f>+IF(N6&gt;P6,AC6,AI6)</f>
        <v>3.8140000000000001</v>
      </c>
      <c r="T6" s="80">
        <f>+IF(N6&gt;P6,AD6,AJ6)</f>
        <v>2.6778203726183802</v>
      </c>
      <c r="U6" s="79">
        <f>+MAX(AE6,AK6)</f>
        <v>106.69050934180592</v>
      </c>
      <c r="W6" s="549" t="str">
        <f>+IF(BI6&lt;0,"Max @ Rear","Max @ Front")</f>
        <v>Max @ Front</v>
      </c>
      <c r="X6" s="76">
        <f>+IF(ABS(BI6)&gt;$I$26/2,"ERROR",IF(ABS(BH6)&gt;$I$28/2,"ERROR",IF(ABS(BI6)&lt;$I$26/6,($B$27/(2*$I$27*$I$26)*(1-(6*ABS(BI6)/$I$26))),0)))</f>
        <v>7.7088390790808772</v>
      </c>
      <c r="Y6" s="76">
        <f>+IF(ABS(BI6)&gt;$I$26/2,"ERROR",IF(ABS(BH6)&gt;$I$28/2,"ERROR",IF(ABS(BI6)&lt;$I$26/6,($B$27/(2*$I$27*$I$26)*(1+(6*ABS(BI6)/$I$26))),($B$27/(3*$I$27*($I$26/2-ABS(BI6)))))))</f>
        <v>137.31869107299045</v>
      </c>
      <c r="Z6" s="2"/>
      <c r="AA6" s="115">
        <f t="shared" ref="AA6:AA30" si="5">+(($I$28/2-BH6)*$B$27)/($I$28)</f>
        <v>199.9886136363636</v>
      </c>
      <c r="AB6" s="90">
        <f>+BI6</f>
        <v>0.56808981369080991</v>
      </c>
      <c r="AC6" s="91">
        <f t="shared" ref="AC6:AC30" si="6">+IF(O6&gt;0,$I$26,AA6/(N6*$I$27*0.5))</f>
        <v>3.8140000000000001</v>
      </c>
      <c r="AD6" s="92">
        <f t="shared" ref="AD6:AD30" si="7">+($I$26/2-ABS(AB6))*2</f>
        <v>2.6778203726183802</v>
      </c>
      <c r="AE6" s="43">
        <f t="shared" ref="AE6:AE30" si="8">+IF(O6&gt;0,((O6*$I$26)+((N6-O6)*$I$26/2))/AD6,3*N6/4)</f>
        <v>106.69050934180592</v>
      </c>
      <c r="AF6" s="2"/>
      <c r="AG6" s="89">
        <f t="shared" ref="AG6:AG30" si="9">+$B$27-AA6</f>
        <v>187.20588636363635</v>
      </c>
      <c r="AH6" s="90">
        <f>+BI6</f>
        <v>0.56808981369080991</v>
      </c>
      <c r="AI6" s="91">
        <f t="shared" ref="AI6:AI30" si="10">+IF(O6&gt;0,$I$26,AA6/(N6*$I$27*0.5))</f>
        <v>3.8140000000000001</v>
      </c>
      <c r="AJ6" s="92">
        <f t="shared" ref="AJ6:AJ30" si="11">+($I$26/2-ABS(AH6))*2</f>
        <v>2.6778203726183802</v>
      </c>
      <c r="AK6" s="550">
        <f t="shared" ref="AK6:AK30" si="12">+IF(Q6&gt;0,((Q6*$I$26)+((P6-Q6)*$I$26/2))/AJ6,3*P6/4)</f>
        <v>99.871142685339962</v>
      </c>
      <c r="AL6" s="42"/>
      <c r="AM6" s="521">
        <f t="shared" ref="AM6:AM29" si="13">+L6</f>
        <v>0</v>
      </c>
      <c r="AN6" s="522"/>
      <c r="AO6" s="60">
        <f>+B24</f>
        <v>98.1</v>
      </c>
      <c r="AP6" s="74">
        <f>+C24</f>
        <v>0</v>
      </c>
      <c r="AQ6" s="74">
        <f>+D24</f>
        <v>0</v>
      </c>
      <c r="AR6" s="61">
        <f>+E24</f>
        <v>0</v>
      </c>
      <c r="AS6" s="62">
        <f>+F24</f>
        <v>0</v>
      </c>
      <c r="AT6" s="67"/>
      <c r="AU6" s="63">
        <f t="shared" ref="AU6:AU30" si="14">+$B$16</f>
        <v>289.09449999999998</v>
      </c>
      <c r="AV6" s="64">
        <f t="shared" ref="AV6:AV30" si="15">+$C$16</f>
        <v>-7.2957112639638597E-2</v>
      </c>
      <c r="AW6" s="64">
        <f t="shared" ref="AW6:AW30" si="16">+$D$16</f>
        <v>0.76086280218788771</v>
      </c>
      <c r="AX6" s="68">
        <f>+DEGREES(ATAN(AV6/AW6))</f>
        <v>-5.4771945604723973</v>
      </c>
      <c r="AY6" s="72">
        <f>+(AV6^2+AW6^2)^0.5</f>
        <v>0.76435263068685622</v>
      </c>
      <c r="AZ6" s="523"/>
      <c r="BA6" s="65">
        <f>+AY6*(SIN(RADIANS(AX6+AM6)))</f>
        <v>-7.2957112639638597E-2</v>
      </c>
      <c r="BB6" s="66">
        <f>+AY6*(COS(RADIANS(AX6+AM6)))</f>
        <v>0.76086280218788771</v>
      </c>
      <c r="BC6" s="117">
        <f>+BB6*AU6*-1</f>
        <v>-219.96125136710629</v>
      </c>
      <c r="BD6" s="62">
        <f>+BA6*AU6</f>
        <v>-21.0915</v>
      </c>
      <c r="BE6" s="67"/>
      <c r="BF6" s="60">
        <f>+BC6+AR6</f>
        <v>-219.96125136710629</v>
      </c>
      <c r="BG6" s="61">
        <f>+BD6+AS6</f>
        <v>-21.0915</v>
      </c>
      <c r="BH6" s="116">
        <f>+IF(BG6=0,1E-24/(AO6+AU6),(BG6/(AO6+AU6)))</f>
        <v>-5.4472622932402195E-2</v>
      </c>
      <c r="BI6" s="128">
        <f>+IF(BF6=0,1E-24/(AO6+AU6)*-1,BF6/(AO6+AU6)*-1)</f>
        <v>0.56808981369080991</v>
      </c>
      <c r="BJ6" s="66" t="str">
        <f t="shared" ref="BJ6:BJ30" si="17">+IF(ABS(BI6)&gt;($I$26/6),"yes","no")</f>
        <v>no</v>
      </c>
      <c r="BK6" s="2"/>
      <c r="BL6" s="71">
        <f>+(BF6^2+BG6^2)^0.5</f>
        <v>220.97014159210136</v>
      </c>
      <c r="BM6" s="524">
        <f>+DEGREES(ATAN(BH6/BI6))</f>
        <v>-5.4771945604723982</v>
      </c>
      <c r="BN6" s="120"/>
      <c r="BO6" s="577">
        <f>+ABS(BH6/($I$28/2))</f>
        <v>3.3013710868122548E-2</v>
      </c>
      <c r="BP6" s="578">
        <f>+ABS(BI6)/($I$26/2)</f>
        <v>0.2978971230680702</v>
      </c>
      <c r="BR6" s="507" t="str">
        <f>+IF(ABS(BI6)&gt;$I$26/2,"YES-ERROR","NO-OK")</f>
        <v>NO-OK</v>
      </c>
      <c r="BS6" s="512" t="str">
        <f>+IF(ABS(BH6)&gt;$I$28/2,"YES-ERROR","NO-OK")</f>
        <v>NO-OK</v>
      </c>
    </row>
    <row r="7" spans="1:71" ht="20.100000000000001" customHeight="1" x14ac:dyDescent="0.25">
      <c r="A7" s="183" t="s">
        <v>85</v>
      </c>
      <c r="B7" s="184">
        <f>+'Input Page'!D36</f>
        <v>9.9999999999999992E-25</v>
      </c>
      <c r="C7" s="185">
        <f>+'Input Page'!E36</f>
        <v>9.9999999999999992E-25</v>
      </c>
      <c r="D7" s="185">
        <f>+'Input Page'!F36</f>
        <v>9.9999999999999992E-25</v>
      </c>
      <c r="E7" s="184">
        <f>+'Input Page'!G36</f>
        <v>0</v>
      </c>
      <c r="F7" s="186">
        <f>+'Input Page'!H36</f>
        <v>0</v>
      </c>
      <c r="G7" s="818"/>
      <c r="H7" s="922"/>
      <c r="I7" s="181"/>
      <c r="J7" s="182"/>
      <c r="K7" s="176"/>
      <c r="L7" s="413">
        <f>+IF('Input Page'!$G$68="YES",Handling!L6+15,0)</f>
        <v>15</v>
      </c>
      <c r="M7" s="9">
        <f t="shared" si="0"/>
        <v>72.513765076035654</v>
      </c>
      <c r="N7" s="9">
        <f t="shared" si="1"/>
        <v>128.89551632151938</v>
      </c>
      <c r="O7" s="9">
        <f t="shared" si="2"/>
        <v>7.8332792815528984</v>
      </c>
      <c r="P7" s="9">
        <f t="shared" si="3"/>
        <v>144.54210590479551</v>
      </c>
      <c r="Q7" s="10">
        <f t="shared" si="4"/>
        <v>8.7841587962748235</v>
      </c>
      <c r="R7" s="11">
        <f t="shared" ref="R7:R29" si="18">+IF(N7&gt;P7,AB7,AH7)</f>
        <v>0.5628311749472924</v>
      </c>
      <c r="S7" s="12">
        <f t="shared" ref="S7:S29" si="19">+IF(N7&gt;P7,AC7,AI7)</f>
        <v>3.8140000000000001</v>
      </c>
      <c r="T7" s="13">
        <f t="shared" ref="T7:T29" si="20">+IF(N7&gt;P7,AD7,AJ7)</f>
        <v>2.6883376501054155</v>
      </c>
      <c r="U7" s="14">
        <f t="shared" ref="U7:U29" si="21">+MAX(AE7,AK7)</f>
        <v>108.76356501329948</v>
      </c>
      <c r="W7" s="549" t="str">
        <f t="shared" ref="W7:W29" si="22">+IF(BI7&lt;0,"Max @ Rear","Max @ Front")</f>
        <v>Max @ Front</v>
      </c>
      <c r="X7" s="76">
        <f t="shared" ref="X7:X30" si="23">+IF(ABS(BI7)&gt;$I$26/2,"ERROR",IF(ABS(BH7)&gt;$I$28/2,"ERROR",IF(ABS(BI7)&lt;$I$26/6,($B$27/(2*$I$27*$I$26)*(1-(6*ABS(BI7)/$I$26))),0)))</f>
        <v>8.3087190389138605</v>
      </c>
      <c r="Y7" s="76">
        <f t="shared" ref="Y7:Y30" si="24">+IF(ABS(BI7)&gt;$I$26/2,"ERROR",IF(ABS(BH7)&gt;$I$28/2,"ERROR",IF(ABS(BI7)&lt;$I$26/6,($B$27/(2*$I$27*$I$26)*(1+(6*ABS(BI7)/$I$26))),($B$27/(3*$I$27*($I$26/2-ABS(BI7)))))))</f>
        <v>136.71881111315744</v>
      </c>
      <c r="Z7" s="2"/>
      <c r="AA7" s="89">
        <f t="shared" si="5"/>
        <v>182.51926925054116</v>
      </c>
      <c r="AB7" s="90">
        <f t="shared" ref="AB7:AB30" si="25">+BI7</f>
        <v>0.5628311749472924</v>
      </c>
      <c r="AC7" s="91">
        <f t="shared" si="6"/>
        <v>3.8140000000000001</v>
      </c>
      <c r="AD7" s="92">
        <f t="shared" si="7"/>
        <v>2.6883376501054155</v>
      </c>
      <c r="AE7" s="43">
        <f t="shared" si="8"/>
        <v>96.989979366927571</v>
      </c>
      <c r="AF7" s="2"/>
      <c r="AG7" s="89">
        <f t="shared" si="9"/>
        <v>204.67523074945879</v>
      </c>
      <c r="AH7" s="90">
        <f t="shared" ref="AH7:AH30" si="26">+BI7</f>
        <v>0.5628311749472924</v>
      </c>
      <c r="AI7" s="91">
        <f t="shared" si="10"/>
        <v>3.8140000000000001</v>
      </c>
      <c r="AJ7" s="92">
        <f t="shared" si="11"/>
        <v>2.6883376501054155</v>
      </c>
      <c r="AK7" s="550">
        <f t="shared" si="12"/>
        <v>108.76356501329948</v>
      </c>
      <c r="AL7" s="42"/>
      <c r="AM7" s="525">
        <f t="shared" si="13"/>
        <v>15</v>
      </c>
      <c r="AN7" s="526"/>
      <c r="AO7" s="54">
        <f>+AO$6</f>
        <v>98.1</v>
      </c>
      <c r="AP7" s="75">
        <f t="shared" ref="AP7:AS22" si="27">+AP$6</f>
        <v>0</v>
      </c>
      <c r="AQ7" s="75">
        <f t="shared" si="27"/>
        <v>0</v>
      </c>
      <c r="AR7" s="53">
        <f t="shared" si="27"/>
        <v>0</v>
      </c>
      <c r="AS7" s="55">
        <f t="shared" si="27"/>
        <v>0</v>
      </c>
      <c r="AT7" s="2"/>
      <c r="AU7" s="51">
        <f t="shared" si="14"/>
        <v>289.09449999999998</v>
      </c>
      <c r="AV7" s="50">
        <f t="shared" si="15"/>
        <v>-7.2957112639638597E-2</v>
      </c>
      <c r="AW7" s="50">
        <f t="shared" si="16"/>
        <v>0.76086280218788771</v>
      </c>
      <c r="AX7" s="69">
        <f t="shared" ref="AX7:AX30" si="28">+DEGREES(ATAN(AV7/AW7))</f>
        <v>-5.4771945604723973</v>
      </c>
      <c r="AY7" s="73">
        <f t="shared" ref="AY7:AY30" si="29">+(AV7^2+AW7^2)^0.5</f>
        <v>0.76435263068685622</v>
      </c>
      <c r="AZ7" s="527"/>
      <c r="BA7" s="58">
        <f t="shared" ref="BA7:BA30" si="30">+AY7*(SIN(RADIANS(AX7+AM7)))</f>
        <v>0.12645462460618967</v>
      </c>
      <c r="BB7" s="57">
        <f t="shared" ref="BB7:BB30" si="31">+AY7*(COS(RADIANS(AX7+AM7)))</f>
        <v>0.75381972112277962</v>
      </c>
      <c r="BC7" s="53">
        <f t="shared" ref="BC7:BC30" si="32">+BB7*AU7*-1</f>
        <v>-217.92513536812939</v>
      </c>
      <c r="BD7" s="55">
        <f t="shared" ref="BD7:BD30" si="33">+BA7*AU7</f>
        <v>36.5573364732141</v>
      </c>
      <c r="BE7" s="2"/>
      <c r="BF7" s="54">
        <f t="shared" ref="BF7:BG30" si="34">+BC7+AR7</f>
        <v>-217.92513536812939</v>
      </c>
      <c r="BG7" s="53">
        <f t="shared" si="34"/>
        <v>36.5573364732141</v>
      </c>
      <c r="BH7" s="57">
        <f t="shared" ref="BH7:BH30" si="35">+IF(BG7=0,1E-24/(AO7+AU7),(BG7/(AO7+AU7)))</f>
        <v>9.4415949795810902E-2</v>
      </c>
      <c r="BI7" s="129">
        <f t="shared" ref="BI7:BI30" si="36">+IF(BF7=0,1E-24/(AO7+AU7)*-1,BF7/(AO7+AU7)*-1)</f>
        <v>0.5628311749472924</v>
      </c>
      <c r="BJ7" s="66" t="str">
        <f t="shared" si="17"/>
        <v>no</v>
      </c>
      <c r="BK7" s="2"/>
      <c r="BL7" s="70">
        <f t="shared" ref="BL7:BL30" si="37">+(BF7^2+BG7^2)^0.5</f>
        <v>220.97014159210133</v>
      </c>
      <c r="BM7" s="528">
        <f t="shared" ref="BM7:BM30" si="38">+DEGREES(ATAN(BH7/BI7))</f>
        <v>9.5228054395276036</v>
      </c>
      <c r="BN7" s="121"/>
      <c r="BO7" s="577">
        <f t="shared" ref="BO7:BO30" si="39">+ABS(BH7/($I$28/2))</f>
        <v>5.7221787755036911E-2</v>
      </c>
      <c r="BP7" s="578">
        <f t="shared" ref="BP7:BP30" si="40">+ABS(BI7)/($I$26/2)</f>
        <v>0.29513957784336253</v>
      </c>
      <c r="BR7" s="507" t="str">
        <f t="shared" ref="BR7:BR30" si="41">+IF(ABS(BI7)&gt;$I$26/2,"YES-ERROR","NO-OK")</f>
        <v>NO-OK</v>
      </c>
      <c r="BS7" s="512" t="str">
        <f t="shared" ref="BS7:BS30" si="42">+IF(ABS(BH7)&gt;$I$28/2,"YES-ERROR","NO-OK")</f>
        <v>NO-OK</v>
      </c>
    </row>
    <row r="8" spans="1:71" ht="19.5" customHeight="1" thickBot="1" x14ac:dyDescent="0.3">
      <c r="A8" s="187" t="s">
        <v>214</v>
      </c>
      <c r="B8" s="188">
        <f>+'Input Page'!D33</f>
        <v>114.777</v>
      </c>
      <c r="C8" s="189">
        <f>+'Input Page'!E33</f>
        <v>9.9999999999999992E-25</v>
      </c>
      <c r="D8" s="189">
        <f>+'Input Page'!F33</f>
        <v>-1.0247287229400814</v>
      </c>
      <c r="E8" s="188">
        <f>+'Input Page'!G33</f>
        <v>117.61528863289372</v>
      </c>
      <c r="F8" s="190">
        <f>+'Input Page'!H33</f>
        <v>0</v>
      </c>
      <c r="G8" s="191"/>
      <c r="H8" s="192"/>
      <c r="I8" s="182"/>
      <c r="J8" s="182"/>
      <c r="K8" s="176"/>
      <c r="L8" s="413">
        <f>+IF('Input Page'!$G$68="YES",Handling!L7+15,0)</f>
        <v>30</v>
      </c>
      <c r="M8" s="9">
        <f t="shared" si="0"/>
        <v>72.513765076035654</v>
      </c>
      <c r="N8" s="9">
        <f t="shared" si="1"/>
        <v>112.83067265647232</v>
      </c>
      <c r="O8" s="9">
        <f t="shared" si="2"/>
        <v>11.377036494449518</v>
      </c>
      <c r="P8" s="9">
        <f t="shared" si="3"/>
        <v>150.65625408302759</v>
      </c>
      <c r="Q8" s="10">
        <f t="shared" si="4"/>
        <v>15.191097070193196</v>
      </c>
      <c r="R8" s="11">
        <f t="shared" si="18"/>
        <v>0.51921652175361122</v>
      </c>
      <c r="S8" s="12">
        <f t="shared" si="19"/>
        <v>3.8140000000000001</v>
      </c>
      <c r="T8" s="13">
        <f t="shared" si="20"/>
        <v>2.7755669564927778</v>
      </c>
      <c r="U8" s="14">
        <f t="shared" si="21"/>
        <v>113.94821440331376</v>
      </c>
      <c r="W8" s="549" t="str">
        <f t="shared" si="22"/>
        <v>Max @ Front</v>
      </c>
      <c r="X8" s="76">
        <f t="shared" si="23"/>
        <v>13.284066782321357</v>
      </c>
      <c r="Y8" s="76">
        <f t="shared" si="24"/>
        <v>131.74346336974995</v>
      </c>
      <c r="Z8" s="2"/>
      <c r="AA8" s="89">
        <f t="shared" si="5"/>
        <v>165.80487094556554</v>
      </c>
      <c r="AB8" s="90">
        <f t="shared" si="25"/>
        <v>0.51921652175361122</v>
      </c>
      <c r="AC8" s="91">
        <f t="shared" si="6"/>
        <v>3.8140000000000001</v>
      </c>
      <c r="AD8" s="92">
        <f t="shared" si="7"/>
        <v>2.7755669564927778</v>
      </c>
      <c r="AE8" s="43">
        <f t="shared" si="8"/>
        <v>85.338997424191405</v>
      </c>
      <c r="AF8" s="2"/>
      <c r="AG8" s="89">
        <f t="shared" si="9"/>
        <v>221.38962905443441</v>
      </c>
      <c r="AH8" s="90">
        <f t="shared" si="26"/>
        <v>0.51921652175361122</v>
      </c>
      <c r="AI8" s="91">
        <f t="shared" si="10"/>
        <v>3.8140000000000001</v>
      </c>
      <c r="AJ8" s="92">
        <f t="shared" si="11"/>
        <v>2.7755669564927778</v>
      </c>
      <c r="AK8" s="550">
        <f t="shared" si="12"/>
        <v>113.94821440331376</v>
      </c>
      <c r="AL8" s="42"/>
      <c r="AM8" s="525">
        <f t="shared" si="13"/>
        <v>30</v>
      </c>
      <c r="AN8" s="526"/>
      <c r="AO8" s="54">
        <f t="shared" ref="AO8:AS30" si="43">+AO$6</f>
        <v>98.1</v>
      </c>
      <c r="AP8" s="75">
        <f t="shared" si="27"/>
        <v>0</v>
      </c>
      <c r="AQ8" s="75">
        <f t="shared" si="27"/>
        <v>0</v>
      </c>
      <c r="AR8" s="53">
        <f t="shared" si="27"/>
        <v>0</v>
      </c>
      <c r="AS8" s="55">
        <f t="shared" si="27"/>
        <v>0</v>
      </c>
      <c r="AT8" s="2"/>
      <c r="AU8" s="51">
        <f t="shared" si="14"/>
        <v>289.09449999999998</v>
      </c>
      <c r="AV8" s="50">
        <f t="shared" si="15"/>
        <v>-7.2957112639638597E-2</v>
      </c>
      <c r="AW8" s="50">
        <f t="shared" si="16"/>
        <v>0.76086280218788771</v>
      </c>
      <c r="AX8" s="69">
        <f t="shared" si="28"/>
        <v>-5.4771945604723973</v>
      </c>
      <c r="AY8" s="73">
        <f t="shared" si="29"/>
        <v>0.76435263068685622</v>
      </c>
      <c r="AZ8" s="527"/>
      <c r="BA8" s="58">
        <f t="shared" si="30"/>
        <v>0.31724868816125401</v>
      </c>
      <c r="BB8" s="57">
        <f t="shared" si="31"/>
        <v>0.69540507180914413</v>
      </c>
      <c r="BC8" s="53">
        <f t="shared" si="32"/>
        <v>-201.03778153212861</v>
      </c>
      <c r="BD8" s="55">
        <f t="shared" si="33"/>
        <v>91.714850879633644</v>
      </c>
      <c r="BE8" s="2"/>
      <c r="BF8" s="54">
        <f t="shared" si="34"/>
        <v>-201.03778153212861</v>
      </c>
      <c r="BG8" s="53">
        <f t="shared" si="34"/>
        <v>91.714850879633644</v>
      </c>
      <c r="BH8" s="57">
        <f t="shared" si="35"/>
        <v>0.23687023157517387</v>
      </c>
      <c r="BI8" s="129">
        <f t="shared" si="36"/>
        <v>0.51921652175361122</v>
      </c>
      <c r="BJ8" s="66" t="str">
        <f t="shared" si="17"/>
        <v>no</v>
      </c>
      <c r="BK8" s="2"/>
      <c r="BL8" s="70">
        <f t="shared" si="37"/>
        <v>220.97014159210133</v>
      </c>
      <c r="BM8" s="528">
        <f t="shared" si="38"/>
        <v>24.522805439527605</v>
      </c>
      <c r="BN8" s="121"/>
      <c r="BO8" s="577">
        <f t="shared" si="39"/>
        <v>0.14355771610616599</v>
      </c>
      <c r="BP8" s="578">
        <f t="shared" si="40"/>
        <v>0.2722687581298433</v>
      </c>
      <c r="BR8" s="507" t="str">
        <f t="shared" si="41"/>
        <v>NO-OK</v>
      </c>
      <c r="BS8" s="512" t="str">
        <f t="shared" si="42"/>
        <v>NO-OK</v>
      </c>
    </row>
    <row r="9" spans="1:71" ht="19.5" customHeight="1" thickBot="1" x14ac:dyDescent="0.3">
      <c r="A9" s="193" t="s">
        <v>220</v>
      </c>
      <c r="B9" s="194">
        <f>+IF(G9&gt;0,+G9-B5,0)</f>
        <v>0</v>
      </c>
      <c r="C9" s="195">
        <f>+'Input Page'!E48</f>
        <v>-0.30069930069930073</v>
      </c>
      <c r="D9" s="195">
        <f>+'Input Page'!F48</f>
        <v>3.4671328671328676</v>
      </c>
      <c r="E9" s="196">
        <f>+B9*D9*-1</f>
        <v>0</v>
      </c>
      <c r="F9" s="197">
        <f>+B9*C9</f>
        <v>0</v>
      </c>
      <c r="G9" s="198">
        <v>0</v>
      </c>
      <c r="H9" s="199">
        <f>+'Input Page'!D48</f>
        <v>392</v>
      </c>
      <c r="I9" s="181"/>
      <c r="J9" s="181"/>
      <c r="K9" s="176"/>
      <c r="L9" s="413">
        <f>+IF('Input Page'!$G$68="YES",Handling!L8+15,0)</f>
        <v>45</v>
      </c>
      <c r="M9" s="9">
        <f t="shared" si="0"/>
        <v>72.513765076035654</v>
      </c>
      <c r="N9" s="9">
        <f t="shared" si="1"/>
        <v>95.717181018169057</v>
      </c>
      <c r="O9" s="9">
        <f t="shared" si="2"/>
        <v>17.388278075449676</v>
      </c>
      <c r="P9" s="9">
        <f t="shared" si="3"/>
        <v>149.74623812049151</v>
      </c>
      <c r="Q9" s="10">
        <f t="shared" si="4"/>
        <v>27.203363090032394</v>
      </c>
      <c r="R9" s="11">
        <f t="shared" si="18"/>
        <v>0.44021812064829358</v>
      </c>
      <c r="S9" s="12">
        <f t="shared" si="19"/>
        <v>3.8140000000000001</v>
      </c>
      <c r="T9" s="13">
        <f t="shared" si="20"/>
        <v>2.9335637587034129</v>
      </c>
      <c r="U9" s="14">
        <f t="shared" si="21"/>
        <v>115.02831275009115</v>
      </c>
      <c r="W9" s="549" t="str">
        <f t="shared" si="22"/>
        <v>Max @ Front</v>
      </c>
      <c r="X9" s="76">
        <f t="shared" si="23"/>
        <v>22.295820582741033</v>
      </c>
      <c r="Y9" s="76">
        <f t="shared" si="24"/>
        <v>122.73170956933028</v>
      </c>
      <c r="Z9" s="2"/>
      <c r="AA9" s="89">
        <f t="shared" si="5"/>
        <v>150.98447734407162</v>
      </c>
      <c r="AB9" s="90">
        <f t="shared" si="25"/>
        <v>0.44021812064829358</v>
      </c>
      <c r="AC9" s="91">
        <f t="shared" si="6"/>
        <v>3.8140000000000001</v>
      </c>
      <c r="AD9" s="92">
        <f t="shared" si="7"/>
        <v>2.9335637587034129</v>
      </c>
      <c r="AE9" s="43">
        <f t="shared" si="8"/>
        <v>73.525625564335201</v>
      </c>
      <c r="AF9" s="2"/>
      <c r="AG9" s="89">
        <f t="shared" si="9"/>
        <v>236.21002265592833</v>
      </c>
      <c r="AH9" s="90">
        <f t="shared" si="26"/>
        <v>0.44021812064829358</v>
      </c>
      <c r="AI9" s="91">
        <f t="shared" si="10"/>
        <v>3.8140000000000001</v>
      </c>
      <c r="AJ9" s="92">
        <f t="shared" si="11"/>
        <v>2.9335637587034129</v>
      </c>
      <c r="AK9" s="550">
        <f t="shared" si="12"/>
        <v>115.02831275009115</v>
      </c>
      <c r="AL9" s="42"/>
      <c r="AM9" s="525">
        <f t="shared" si="13"/>
        <v>45</v>
      </c>
      <c r="AN9" s="526"/>
      <c r="AO9" s="54">
        <f t="shared" si="43"/>
        <v>98.1</v>
      </c>
      <c r="AP9" s="75">
        <f t="shared" si="27"/>
        <v>0</v>
      </c>
      <c r="AQ9" s="75">
        <f t="shared" si="27"/>
        <v>0</v>
      </c>
      <c r="AR9" s="53">
        <f t="shared" si="27"/>
        <v>0</v>
      </c>
      <c r="AS9" s="55">
        <f t="shared" si="27"/>
        <v>0</v>
      </c>
      <c r="AT9" s="2"/>
      <c r="AU9" s="51">
        <f t="shared" si="14"/>
        <v>289.09449999999998</v>
      </c>
      <c r="AV9" s="50">
        <f t="shared" si="15"/>
        <v>-7.2957112639638597E-2</v>
      </c>
      <c r="AW9" s="50">
        <f t="shared" si="16"/>
        <v>0.76086280218788771</v>
      </c>
      <c r="AX9" s="69">
        <f t="shared" si="28"/>
        <v>-5.4771945604723973</v>
      </c>
      <c r="AY9" s="73">
        <f t="shared" si="29"/>
        <v>0.76435263068685622</v>
      </c>
      <c r="AZ9" s="527"/>
      <c r="BA9" s="58">
        <f t="shared" si="30"/>
        <v>0.48642277789637489</v>
      </c>
      <c r="BB9" s="57">
        <f t="shared" si="31"/>
        <v>0.58959971606293338</v>
      </c>
      <c r="BC9" s="53">
        <f t="shared" si="32"/>
        <v>-170.45003511535569</v>
      </c>
      <c r="BD9" s="55">
        <f t="shared" si="33"/>
        <v>140.62214976456355</v>
      </c>
      <c r="BE9" s="2"/>
      <c r="BF9" s="54">
        <f t="shared" si="34"/>
        <v>-170.45003511535569</v>
      </c>
      <c r="BG9" s="53">
        <f t="shared" si="34"/>
        <v>140.62214976456355</v>
      </c>
      <c r="BH9" s="57">
        <f t="shared" si="35"/>
        <v>0.36318219851925471</v>
      </c>
      <c r="BI9" s="129">
        <f t="shared" si="36"/>
        <v>0.44021812064829358</v>
      </c>
      <c r="BJ9" s="66" t="str">
        <f t="shared" si="17"/>
        <v>no</v>
      </c>
      <c r="BK9" s="2"/>
      <c r="BL9" s="70">
        <f t="shared" si="37"/>
        <v>220.97014159210136</v>
      </c>
      <c r="BM9" s="528">
        <f t="shared" si="38"/>
        <v>39.522805439527602</v>
      </c>
      <c r="BN9" s="121"/>
      <c r="BO9" s="577">
        <f t="shared" si="39"/>
        <v>0.22011042334500286</v>
      </c>
      <c r="BP9" s="578">
        <f t="shared" si="40"/>
        <v>0.23084327249517231</v>
      </c>
      <c r="BR9" s="507" t="str">
        <f t="shared" si="41"/>
        <v>NO-OK</v>
      </c>
      <c r="BS9" s="512" t="str">
        <f t="shared" si="42"/>
        <v>NO-OK</v>
      </c>
    </row>
    <row r="10" spans="1:71" ht="20.100000000000001" customHeight="1" x14ac:dyDescent="0.25">
      <c r="A10" s="200" t="s">
        <v>215</v>
      </c>
      <c r="B10" s="201">
        <f>+IF(G10&lt;0,+G10-B5,0)</f>
        <v>0</v>
      </c>
      <c r="C10" s="202">
        <f>+'Input Page'!E49</f>
        <v>-0.30069930069930073</v>
      </c>
      <c r="D10" s="202">
        <f>+'Input Page'!F49</f>
        <v>3.4671328671328676</v>
      </c>
      <c r="E10" s="203">
        <f t="shared" ref="E10:E15" si="44">+B10*D10*-1</f>
        <v>0</v>
      </c>
      <c r="F10" s="204">
        <f t="shared" ref="F10:F15" si="45">+B10*C10</f>
        <v>0</v>
      </c>
      <c r="G10" s="205">
        <v>0</v>
      </c>
      <c r="H10" s="206">
        <f>+'Input Page'!D49</f>
        <v>-29.4</v>
      </c>
      <c r="I10" s="858" t="s">
        <v>158</v>
      </c>
      <c r="J10" s="863" t="s">
        <v>29</v>
      </c>
      <c r="K10" s="176"/>
      <c r="L10" s="413">
        <f>+IF('Input Page'!$G$68="YES",Handling!L9+15,0)</f>
        <v>60</v>
      </c>
      <c r="M10" s="9">
        <f t="shared" si="0"/>
        <v>72.513765076035654</v>
      </c>
      <c r="N10" s="9">
        <f t="shared" si="1"/>
        <v>79.230912174953801</v>
      </c>
      <c r="O10" s="9">
        <f t="shared" si="2"/>
        <v>24.947733250278656</v>
      </c>
      <c r="P10" s="9">
        <f t="shared" si="3"/>
        <v>141.36445950658552</v>
      </c>
      <c r="Q10" s="10">
        <f t="shared" si="4"/>
        <v>44.511955372324607</v>
      </c>
      <c r="R10" s="11">
        <f t="shared" si="18"/>
        <v>0.33121958211563601</v>
      </c>
      <c r="S10" s="12">
        <f t="shared" si="19"/>
        <v>3.8140000000000001</v>
      </c>
      <c r="T10" s="13">
        <f t="shared" si="20"/>
        <v>3.1515608357687279</v>
      </c>
      <c r="U10" s="14">
        <f t="shared" si="21"/>
        <v>112.47326059870275</v>
      </c>
      <c r="W10" s="549" t="str">
        <f t="shared" si="22"/>
        <v>Max @ Front</v>
      </c>
      <c r="X10" s="76">
        <f t="shared" si="23"/>
        <v>34.729844311301633</v>
      </c>
      <c r="Y10" s="76">
        <f t="shared" si="24"/>
        <v>110.29768584076966</v>
      </c>
      <c r="Z10" s="2"/>
      <c r="AA10" s="89">
        <f t="shared" si="5"/>
        <v>139.0680737781428</v>
      </c>
      <c r="AB10" s="90">
        <f t="shared" si="25"/>
        <v>0.33121958211563601</v>
      </c>
      <c r="AC10" s="91">
        <f t="shared" si="6"/>
        <v>3.8140000000000001</v>
      </c>
      <c r="AD10" s="92">
        <f t="shared" si="7"/>
        <v>3.1515608357687279</v>
      </c>
      <c r="AE10" s="43">
        <f t="shared" si="8"/>
        <v>63.038185578118174</v>
      </c>
      <c r="AF10" s="2"/>
      <c r="AG10" s="89">
        <f t="shared" si="9"/>
        <v>248.12642622185714</v>
      </c>
      <c r="AH10" s="90">
        <f t="shared" si="26"/>
        <v>0.33121958211563601</v>
      </c>
      <c r="AI10" s="91">
        <f t="shared" si="10"/>
        <v>3.8140000000000001</v>
      </c>
      <c r="AJ10" s="92">
        <f t="shared" si="11"/>
        <v>3.1515608357687279</v>
      </c>
      <c r="AK10" s="550">
        <f t="shared" si="12"/>
        <v>112.47326059870275</v>
      </c>
      <c r="AL10" s="42"/>
      <c r="AM10" s="525">
        <f t="shared" si="13"/>
        <v>60</v>
      </c>
      <c r="AN10" s="526"/>
      <c r="AO10" s="54">
        <f t="shared" si="43"/>
        <v>98.1</v>
      </c>
      <c r="AP10" s="75">
        <f t="shared" si="27"/>
        <v>0</v>
      </c>
      <c r="AQ10" s="75">
        <f t="shared" si="27"/>
        <v>0</v>
      </c>
      <c r="AR10" s="53">
        <f t="shared" si="27"/>
        <v>0</v>
      </c>
      <c r="AS10" s="55">
        <f t="shared" si="27"/>
        <v>0</v>
      </c>
      <c r="AT10" s="2"/>
      <c r="AU10" s="51">
        <f t="shared" si="14"/>
        <v>289.09449999999998</v>
      </c>
      <c r="AV10" s="50">
        <f t="shared" si="15"/>
        <v>-7.2957112639638597E-2</v>
      </c>
      <c r="AW10" s="50">
        <f t="shared" si="16"/>
        <v>0.76086280218788771</v>
      </c>
      <c r="AX10" s="69">
        <f t="shared" si="28"/>
        <v>-5.4771945604723973</v>
      </c>
      <c r="AY10" s="73">
        <f t="shared" si="29"/>
        <v>0.76435263068685622</v>
      </c>
      <c r="AZ10" s="527"/>
      <c r="BA10" s="58">
        <f t="shared" si="30"/>
        <v>0.62244795916950557</v>
      </c>
      <c r="BB10" s="57">
        <f t="shared" si="31"/>
        <v>0.44361411402663359</v>
      </c>
      <c r="BC10" s="53">
        <f t="shared" si="32"/>
        <v>-128.24640048747261</v>
      </c>
      <c r="BD10" s="55">
        <f t="shared" si="33"/>
        <v>179.94628153212861</v>
      </c>
      <c r="BE10" s="2"/>
      <c r="BF10" s="54">
        <f t="shared" si="34"/>
        <v>-128.24640048747261</v>
      </c>
      <c r="BG10" s="53">
        <f t="shared" si="34"/>
        <v>179.94628153212861</v>
      </c>
      <c r="BH10" s="57">
        <f t="shared" si="35"/>
        <v>0.46474389882120909</v>
      </c>
      <c r="BI10" s="129">
        <f t="shared" si="36"/>
        <v>0.33121958211563601</v>
      </c>
      <c r="BJ10" s="66" t="str">
        <f t="shared" si="17"/>
        <v>no</v>
      </c>
      <c r="BK10" s="2"/>
      <c r="BL10" s="70">
        <f t="shared" si="37"/>
        <v>220.97014159210133</v>
      </c>
      <c r="BM10" s="528">
        <f t="shared" si="38"/>
        <v>54.522805439527609</v>
      </c>
      <c r="BN10" s="121"/>
      <c r="BO10" s="577">
        <f t="shared" si="39"/>
        <v>0.281662968982551</v>
      </c>
      <c r="BP10" s="578">
        <f t="shared" si="40"/>
        <v>0.17368619932650026</v>
      </c>
      <c r="BR10" s="507" t="str">
        <f t="shared" si="41"/>
        <v>NO-OK</v>
      </c>
      <c r="BS10" s="512" t="str">
        <f t="shared" si="42"/>
        <v>NO-OK</v>
      </c>
    </row>
    <row r="11" spans="1:71" ht="20.100000000000001" customHeight="1" thickBot="1" x14ac:dyDescent="0.3">
      <c r="A11" s="207" t="s">
        <v>93</v>
      </c>
      <c r="B11" s="208">
        <f t="shared" ref="B11:B15" si="46">+G11</f>
        <v>10</v>
      </c>
      <c r="C11" s="209">
        <f>+'Input Page'!E50</f>
        <v>0</v>
      </c>
      <c r="D11" s="209">
        <f>+'Input Page'!F50</f>
        <v>4</v>
      </c>
      <c r="E11" s="210">
        <f t="shared" si="44"/>
        <v>-40</v>
      </c>
      <c r="F11" s="211">
        <f t="shared" si="45"/>
        <v>0</v>
      </c>
      <c r="G11" s="212">
        <v>10</v>
      </c>
      <c r="H11" s="213">
        <f>+'Input Page'!D50</f>
        <v>10</v>
      </c>
      <c r="I11" s="859"/>
      <c r="J11" s="864"/>
      <c r="K11" s="176"/>
      <c r="L11" s="413">
        <f>+IF('Input Page'!$G$68="YES",Handling!L10+15,0)</f>
        <v>75</v>
      </c>
      <c r="M11" s="9">
        <f t="shared" si="0"/>
        <v>72.513765076035654</v>
      </c>
      <c r="N11" s="9">
        <f t="shared" si="1"/>
        <v>64.413227644645062</v>
      </c>
      <c r="O11" s="9">
        <f t="shared" si="2"/>
        <v>33.62238810036142</v>
      </c>
      <c r="P11" s="9">
        <f t="shared" si="3"/>
        <v>126.16427306130264</v>
      </c>
      <c r="Q11" s="10">
        <f t="shared" si="4"/>
        <v>65.855171497833496</v>
      </c>
      <c r="R11" s="11">
        <f t="shared" si="18"/>
        <v>0.19964897642803781</v>
      </c>
      <c r="S11" s="12">
        <f t="shared" si="19"/>
        <v>3.8140000000000001</v>
      </c>
      <c r="T11" s="13">
        <f t="shared" si="20"/>
        <v>3.4147020471439244</v>
      </c>
      <c r="U11" s="14">
        <f t="shared" si="21"/>
        <v>107.2366126586501</v>
      </c>
      <c r="W11" s="549" t="str">
        <f t="shared" si="22"/>
        <v>Max @ Front</v>
      </c>
      <c r="X11" s="76">
        <f t="shared" si="23"/>
        <v>49.738779799097458</v>
      </c>
      <c r="Y11" s="76">
        <f t="shared" si="24"/>
        <v>95.28875035297385</v>
      </c>
      <c r="Z11" s="2"/>
      <c r="AA11" s="89">
        <f t="shared" si="5"/>
        <v>130.86774345800913</v>
      </c>
      <c r="AB11" s="90">
        <f t="shared" si="25"/>
        <v>0.19964897642803781</v>
      </c>
      <c r="AC11" s="91">
        <f t="shared" si="6"/>
        <v>3.8140000000000001</v>
      </c>
      <c r="AD11" s="92">
        <f t="shared" si="7"/>
        <v>3.4147020471439244</v>
      </c>
      <c r="AE11" s="43">
        <f t="shared" si="8"/>
        <v>54.749701919702382</v>
      </c>
      <c r="AF11" s="2"/>
      <c r="AG11" s="89">
        <f t="shared" si="9"/>
        <v>256.32675654199079</v>
      </c>
      <c r="AH11" s="90">
        <f t="shared" si="26"/>
        <v>0.19964897642803781</v>
      </c>
      <c r="AI11" s="91">
        <f t="shared" si="10"/>
        <v>3.8140000000000001</v>
      </c>
      <c r="AJ11" s="92">
        <f t="shared" si="11"/>
        <v>3.4147020471439244</v>
      </c>
      <c r="AK11" s="550">
        <f t="shared" si="12"/>
        <v>107.2366126586501</v>
      </c>
      <c r="AL11" s="42"/>
      <c r="AM11" s="525">
        <f t="shared" si="13"/>
        <v>75</v>
      </c>
      <c r="AN11" s="526"/>
      <c r="AO11" s="54">
        <f t="shared" si="43"/>
        <v>98.1</v>
      </c>
      <c r="AP11" s="75">
        <f t="shared" si="27"/>
        <v>0</v>
      </c>
      <c r="AQ11" s="75">
        <f t="shared" si="27"/>
        <v>0</v>
      </c>
      <c r="AR11" s="53">
        <f t="shared" si="27"/>
        <v>0</v>
      </c>
      <c r="AS11" s="55">
        <f t="shared" si="27"/>
        <v>0</v>
      </c>
      <c r="AT11" s="2"/>
      <c r="AU11" s="51">
        <f t="shared" si="14"/>
        <v>289.09449999999998</v>
      </c>
      <c r="AV11" s="50">
        <f t="shared" si="15"/>
        <v>-7.2957112639638597E-2</v>
      </c>
      <c r="AW11" s="50">
        <f t="shared" si="16"/>
        <v>0.76086280218788771</v>
      </c>
      <c r="AX11" s="69">
        <f t="shared" si="28"/>
        <v>-5.4771945604723973</v>
      </c>
      <c r="AY11" s="73">
        <f t="shared" si="29"/>
        <v>0.76435263068685622</v>
      </c>
      <c r="AZ11" s="527"/>
      <c r="BA11" s="58">
        <f t="shared" si="30"/>
        <v>0.71605434066912299</v>
      </c>
      <c r="BB11" s="57">
        <f t="shared" si="31"/>
        <v>0.26739694322640478</v>
      </c>
      <c r="BC11" s="53">
        <f t="shared" si="32"/>
        <v>-77.302985603565872</v>
      </c>
      <c r="BD11" s="55">
        <f t="shared" si="33"/>
        <v>207.00737158856975</v>
      </c>
      <c r="BE11" s="2"/>
      <c r="BF11" s="54">
        <f t="shared" si="34"/>
        <v>-77.302985603565872</v>
      </c>
      <c r="BG11" s="53">
        <f t="shared" si="34"/>
        <v>207.00737158856975</v>
      </c>
      <c r="BH11" s="57">
        <f t="shared" si="35"/>
        <v>0.53463407044410438</v>
      </c>
      <c r="BI11" s="129">
        <f t="shared" si="36"/>
        <v>0.19964897642803781</v>
      </c>
      <c r="BJ11" s="66" t="str">
        <f t="shared" si="17"/>
        <v>no</v>
      </c>
      <c r="BK11" s="2"/>
      <c r="BL11" s="70">
        <f t="shared" si="37"/>
        <v>220.97014159210133</v>
      </c>
      <c r="BM11" s="528">
        <f t="shared" si="38"/>
        <v>69.522805439527602</v>
      </c>
      <c r="BN11" s="121"/>
      <c r="BO11" s="577">
        <f t="shared" si="39"/>
        <v>0.32402064875400266</v>
      </c>
      <c r="BP11" s="578">
        <f t="shared" si="40"/>
        <v>0.10469269870374295</v>
      </c>
      <c r="BR11" s="507" t="str">
        <f t="shared" si="41"/>
        <v>NO-OK</v>
      </c>
      <c r="BS11" s="512" t="str">
        <f t="shared" si="42"/>
        <v>NO-OK</v>
      </c>
    </row>
    <row r="12" spans="1:71" ht="20.100000000000001" customHeight="1" x14ac:dyDescent="0.25">
      <c r="A12" s="214" t="s">
        <v>74</v>
      </c>
      <c r="B12" s="215">
        <f t="shared" si="46"/>
        <v>0</v>
      </c>
      <c r="C12" s="216">
        <f>+'Input Page'!E41</f>
        <v>0</v>
      </c>
      <c r="D12" s="216">
        <f>+'Input Page'!F41</f>
        <v>2.74</v>
      </c>
      <c r="E12" s="217">
        <f t="shared" si="44"/>
        <v>0</v>
      </c>
      <c r="F12" s="218">
        <f t="shared" si="45"/>
        <v>0</v>
      </c>
      <c r="G12" s="219">
        <v>0</v>
      </c>
      <c r="H12" s="220">
        <f>+'Input Page'!D41</f>
        <v>-450</v>
      </c>
      <c r="I12" s="221">
        <f>+IF(J12=0,-1E-24,G12/J12*-1)</f>
        <v>0</v>
      </c>
      <c r="J12" s="222">
        <f>+'Input Page'!C41</f>
        <v>1.5</v>
      </c>
      <c r="K12" s="176"/>
      <c r="L12" s="413">
        <f>+IF('Input Page'!$G$68="YES",Handling!L11+15,0)</f>
        <v>90</v>
      </c>
      <c r="M12" s="9">
        <f t="shared" si="0"/>
        <v>72.513765076035654</v>
      </c>
      <c r="N12" s="9">
        <f t="shared" si="1"/>
        <v>51.622024777174012</v>
      </c>
      <c r="O12" s="9">
        <f t="shared" si="2"/>
        <v>43.472982596637593</v>
      </c>
      <c r="P12" s="9">
        <f t="shared" si="3"/>
        <v>105.8334497348208</v>
      </c>
      <c r="Q12" s="10">
        <f t="shared" si="4"/>
        <v>89.126603195510199</v>
      </c>
      <c r="R12" s="11">
        <f t="shared" si="18"/>
        <v>5.4472622932402237E-2</v>
      </c>
      <c r="S12" s="12">
        <f t="shared" si="19"/>
        <v>3.8140000000000001</v>
      </c>
      <c r="T12" s="13">
        <f t="shared" si="20"/>
        <v>3.7050547541351957</v>
      </c>
      <c r="U12" s="14">
        <f t="shared" si="21"/>
        <v>100.34637693901536</v>
      </c>
      <c r="V12" s="46"/>
      <c r="W12" s="549" t="str">
        <f t="shared" si="22"/>
        <v>Max @ Front</v>
      </c>
      <c r="X12" s="76">
        <f t="shared" si="23"/>
        <v>66.299792896073896</v>
      </c>
      <c r="Y12" s="76">
        <f t="shared" si="24"/>
        <v>78.727737255997411</v>
      </c>
      <c r="Z12" s="2"/>
      <c r="AA12" s="89">
        <f t="shared" si="5"/>
        <v>126.94232534330109</v>
      </c>
      <c r="AB12" s="90">
        <f t="shared" si="25"/>
        <v>5.4472622932402237E-2</v>
      </c>
      <c r="AC12" s="91">
        <f t="shared" si="6"/>
        <v>3.8140000000000001</v>
      </c>
      <c r="AD12" s="92">
        <f t="shared" si="7"/>
        <v>3.7050547541351957</v>
      </c>
      <c r="AE12" s="43">
        <f t="shared" si="8"/>
        <v>48.945613788692071</v>
      </c>
      <c r="AF12" s="2"/>
      <c r="AG12" s="89">
        <f t="shared" si="9"/>
        <v>260.25217465669886</v>
      </c>
      <c r="AH12" s="90">
        <f t="shared" si="26"/>
        <v>5.4472622932402237E-2</v>
      </c>
      <c r="AI12" s="91">
        <f t="shared" si="10"/>
        <v>3.8140000000000001</v>
      </c>
      <c r="AJ12" s="92">
        <f t="shared" si="11"/>
        <v>3.7050547541351957</v>
      </c>
      <c r="AK12" s="550">
        <f t="shared" si="12"/>
        <v>100.34637693901536</v>
      </c>
      <c r="AL12" s="42"/>
      <c r="AM12" s="521">
        <f t="shared" si="13"/>
        <v>90</v>
      </c>
      <c r="AN12" s="522"/>
      <c r="AO12" s="60">
        <f t="shared" si="43"/>
        <v>98.1</v>
      </c>
      <c r="AP12" s="74">
        <f t="shared" si="27"/>
        <v>0</v>
      </c>
      <c r="AQ12" s="74">
        <f t="shared" si="27"/>
        <v>0</v>
      </c>
      <c r="AR12" s="61">
        <f t="shared" si="27"/>
        <v>0</v>
      </c>
      <c r="AS12" s="62">
        <f t="shared" si="27"/>
        <v>0</v>
      </c>
      <c r="AT12" s="67"/>
      <c r="AU12" s="63">
        <f t="shared" si="14"/>
        <v>289.09449999999998</v>
      </c>
      <c r="AV12" s="64">
        <f t="shared" si="15"/>
        <v>-7.2957112639638597E-2</v>
      </c>
      <c r="AW12" s="64">
        <f t="shared" si="16"/>
        <v>0.76086280218788771</v>
      </c>
      <c r="AX12" s="68">
        <f t="shared" si="28"/>
        <v>-5.4771945604723973</v>
      </c>
      <c r="AY12" s="72">
        <f t="shared" si="29"/>
        <v>0.76435263068685622</v>
      </c>
      <c r="AZ12" s="523"/>
      <c r="BA12" s="65">
        <f t="shared" si="30"/>
        <v>0.76086280218788771</v>
      </c>
      <c r="BB12" s="66">
        <f t="shared" si="31"/>
        <v>7.2957112639638652E-2</v>
      </c>
      <c r="BC12" s="61">
        <f t="shared" si="32"/>
        <v>-21.091500000000014</v>
      </c>
      <c r="BD12" s="62">
        <f t="shared" si="33"/>
        <v>219.96125136710629</v>
      </c>
      <c r="BE12" s="67"/>
      <c r="BF12" s="60">
        <f t="shared" si="34"/>
        <v>-21.091500000000014</v>
      </c>
      <c r="BG12" s="61">
        <f t="shared" si="34"/>
        <v>219.96125136710629</v>
      </c>
      <c r="BH12" s="66">
        <f t="shared" si="35"/>
        <v>0.56808981369080991</v>
      </c>
      <c r="BI12" s="128">
        <f t="shared" si="36"/>
        <v>5.4472622932402237E-2</v>
      </c>
      <c r="BJ12" s="66" t="str">
        <f t="shared" si="17"/>
        <v>no</v>
      </c>
      <c r="BK12" s="2"/>
      <c r="BL12" s="71">
        <f t="shared" si="37"/>
        <v>220.97014159210136</v>
      </c>
      <c r="BM12" s="524">
        <f t="shared" si="38"/>
        <v>84.522805439527602</v>
      </c>
      <c r="BN12" s="120"/>
      <c r="BO12" s="577">
        <f t="shared" si="39"/>
        <v>0.34429685678230904</v>
      </c>
      <c r="BP12" s="578">
        <f t="shared" si="40"/>
        <v>2.8564563677190475E-2</v>
      </c>
      <c r="BR12" s="507" t="str">
        <f t="shared" si="41"/>
        <v>NO-OK</v>
      </c>
      <c r="BS12" s="512" t="str">
        <f t="shared" si="42"/>
        <v>NO-OK</v>
      </c>
    </row>
    <row r="13" spans="1:71" ht="20.100000000000001" customHeight="1" x14ac:dyDescent="0.25">
      <c r="A13" s="223" t="s">
        <v>75</v>
      </c>
      <c r="B13" s="224">
        <f t="shared" si="46"/>
        <v>0</v>
      </c>
      <c r="C13" s="225">
        <f>+'Input Page'!E42</f>
        <v>0</v>
      </c>
      <c r="D13" s="225">
        <f>+'Input Page'!F42</f>
        <v>0</v>
      </c>
      <c r="E13" s="226">
        <f t="shared" si="44"/>
        <v>0</v>
      </c>
      <c r="F13" s="227">
        <f t="shared" si="45"/>
        <v>0</v>
      </c>
      <c r="G13" s="205">
        <v>0</v>
      </c>
      <c r="H13" s="206">
        <f>+'Input Page'!D42</f>
        <v>0</v>
      </c>
      <c r="I13" s="221">
        <f t="shared" ref="I13:I15" si="47">+IF(J13=0,-1E-24,G13/J13*-1)</f>
        <v>-9.9999999999999992E-25</v>
      </c>
      <c r="J13" s="222">
        <f>+'Input Page'!C42</f>
        <v>0</v>
      </c>
      <c r="K13" s="176"/>
      <c r="L13" s="413">
        <f>+IF('Input Page'!$G$68="YES",Handling!L12+15,0)</f>
        <v>105</v>
      </c>
      <c r="M13" s="9">
        <f t="shared" si="0"/>
        <v>72.513765076035654</v>
      </c>
      <c r="N13" s="9">
        <f t="shared" si="1"/>
        <v>54.875194291145817</v>
      </c>
      <c r="O13" s="9">
        <f t="shared" si="2"/>
        <v>40.682023621413876</v>
      </c>
      <c r="P13" s="9">
        <f t="shared" si="3"/>
        <v>111.69336156493455</v>
      </c>
      <c r="Q13" s="10">
        <f t="shared" si="4"/>
        <v>82.804480826648373</v>
      </c>
      <c r="R13" s="11">
        <f t="shared" si="18"/>
        <v>-9.4415949795810958E-2</v>
      </c>
      <c r="S13" s="12">
        <f t="shared" si="19"/>
        <v>3.8140000000000001</v>
      </c>
      <c r="T13" s="13">
        <f t="shared" si="20"/>
        <v>3.625168100408378</v>
      </c>
      <c r="U13" s="84">
        <f t="shared" si="21"/>
        <v>102.31453415883406</v>
      </c>
      <c r="W13" s="549" t="str">
        <f t="shared" si="22"/>
        <v>Max @ Rear</v>
      </c>
      <c r="X13" s="76">
        <f t="shared" si="23"/>
        <v>61.743252224031124</v>
      </c>
      <c r="Y13" s="76">
        <f t="shared" si="24"/>
        <v>83.284277928040183</v>
      </c>
      <c r="Z13" s="2"/>
      <c r="AA13" s="89">
        <f t="shared" si="5"/>
        <v>127.55933019147592</v>
      </c>
      <c r="AB13" s="90">
        <f t="shared" si="25"/>
        <v>-9.4415949795810958E-2</v>
      </c>
      <c r="AC13" s="91">
        <f t="shared" si="6"/>
        <v>3.8140000000000001</v>
      </c>
      <c r="AD13" s="92">
        <f t="shared" si="7"/>
        <v>3.625168100408378</v>
      </c>
      <c r="AE13" s="43">
        <f t="shared" si="8"/>
        <v>50.267355750681809</v>
      </c>
      <c r="AF13" s="2"/>
      <c r="AG13" s="89">
        <f t="shared" si="9"/>
        <v>259.63516980852404</v>
      </c>
      <c r="AH13" s="90">
        <f t="shared" si="26"/>
        <v>-9.4415949795810958E-2</v>
      </c>
      <c r="AI13" s="91">
        <f t="shared" si="10"/>
        <v>3.8140000000000001</v>
      </c>
      <c r="AJ13" s="92">
        <f t="shared" si="11"/>
        <v>3.625168100408378</v>
      </c>
      <c r="AK13" s="550">
        <f t="shared" si="12"/>
        <v>102.31453415883406</v>
      </c>
      <c r="AL13" s="42"/>
      <c r="AM13" s="525">
        <f t="shared" si="13"/>
        <v>105</v>
      </c>
      <c r="AN13" s="526"/>
      <c r="AO13" s="54">
        <f t="shared" si="43"/>
        <v>98.1</v>
      </c>
      <c r="AP13" s="75">
        <f t="shared" si="27"/>
        <v>0</v>
      </c>
      <c r="AQ13" s="75">
        <f t="shared" si="27"/>
        <v>0</v>
      </c>
      <c r="AR13" s="53">
        <f t="shared" si="27"/>
        <v>0</v>
      </c>
      <c r="AS13" s="55">
        <f t="shared" si="27"/>
        <v>0</v>
      </c>
      <c r="AT13" s="2"/>
      <c r="AU13" s="51">
        <f t="shared" si="14"/>
        <v>289.09449999999998</v>
      </c>
      <c r="AV13" s="50">
        <f t="shared" si="15"/>
        <v>-7.2957112639638597E-2</v>
      </c>
      <c r="AW13" s="50">
        <f t="shared" si="16"/>
        <v>0.76086280218788771</v>
      </c>
      <c r="AX13" s="69">
        <f t="shared" si="28"/>
        <v>-5.4771945604723973</v>
      </c>
      <c r="AY13" s="73">
        <f t="shared" si="29"/>
        <v>0.76435263068685622</v>
      </c>
      <c r="AZ13" s="527"/>
      <c r="BA13" s="58">
        <f t="shared" si="30"/>
        <v>0.75381972112277962</v>
      </c>
      <c r="BB13" s="57">
        <f t="shared" si="31"/>
        <v>-0.12645462460618975</v>
      </c>
      <c r="BC13" s="53">
        <f t="shared" si="32"/>
        <v>36.557336473214121</v>
      </c>
      <c r="BD13" s="55">
        <f t="shared" si="33"/>
        <v>217.92513536812939</v>
      </c>
      <c r="BE13" s="2"/>
      <c r="BF13" s="54">
        <f t="shared" si="34"/>
        <v>36.557336473214121</v>
      </c>
      <c r="BG13" s="53">
        <f t="shared" si="34"/>
        <v>217.92513536812939</v>
      </c>
      <c r="BH13" s="57">
        <f t="shared" si="35"/>
        <v>0.5628311749472924</v>
      </c>
      <c r="BI13" s="129">
        <f t="shared" si="36"/>
        <v>-9.4415949795810958E-2</v>
      </c>
      <c r="BJ13" s="66" t="str">
        <f t="shared" si="17"/>
        <v>no</v>
      </c>
      <c r="BK13" s="2"/>
      <c r="BL13" s="70">
        <f t="shared" si="37"/>
        <v>220.97014159210133</v>
      </c>
      <c r="BM13" s="528">
        <f t="shared" si="38"/>
        <v>-80.477194560472384</v>
      </c>
      <c r="BN13" s="121"/>
      <c r="BO13" s="577">
        <f t="shared" si="39"/>
        <v>0.34110980299835902</v>
      </c>
      <c r="BP13" s="578">
        <f t="shared" si="40"/>
        <v>4.9510199158789174E-2</v>
      </c>
      <c r="BR13" s="507" t="str">
        <f t="shared" si="41"/>
        <v>NO-OK</v>
      </c>
      <c r="BS13" s="512" t="str">
        <f t="shared" si="42"/>
        <v>NO-OK</v>
      </c>
    </row>
    <row r="14" spans="1:71" ht="20.100000000000001" customHeight="1" x14ac:dyDescent="0.25">
      <c r="A14" s="228" t="s">
        <v>77</v>
      </c>
      <c r="B14" s="224">
        <f t="shared" si="46"/>
        <v>0</v>
      </c>
      <c r="C14" s="225">
        <f>+'Input Page'!E43</f>
        <v>0</v>
      </c>
      <c r="D14" s="225">
        <f>+'Input Page'!F43</f>
        <v>0</v>
      </c>
      <c r="E14" s="226">
        <f t="shared" si="44"/>
        <v>0</v>
      </c>
      <c r="F14" s="227">
        <f t="shared" si="45"/>
        <v>0</v>
      </c>
      <c r="G14" s="205">
        <v>0</v>
      </c>
      <c r="H14" s="206">
        <f>+'Input Page'!D43</f>
        <v>0</v>
      </c>
      <c r="I14" s="221">
        <f t="shared" si="47"/>
        <v>-9.9999999999999992E-25</v>
      </c>
      <c r="J14" s="222">
        <f>+'Input Page'!C43</f>
        <v>0</v>
      </c>
      <c r="K14" s="176"/>
      <c r="L14" s="413">
        <f>+IF('Input Page'!$G$68="YES",Handling!L13+15,0)</f>
        <v>120</v>
      </c>
      <c r="M14" s="9">
        <f t="shared" si="0"/>
        <v>72.513765076035654</v>
      </c>
      <c r="N14" s="9">
        <f t="shared" si="1"/>
        <v>68.213499257954879</v>
      </c>
      <c r="O14" s="9">
        <f t="shared" si="2"/>
        <v>31.177249218919194</v>
      </c>
      <c r="P14" s="9">
        <f t="shared" si="3"/>
        <v>130.85604135855792</v>
      </c>
      <c r="Q14" s="10">
        <f t="shared" si="4"/>
        <v>59.808270468710631</v>
      </c>
      <c r="R14" s="11">
        <f t="shared" si="18"/>
        <v>-0.23687023157517387</v>
      </c>
      <c r="S14" s="12">
        <f t="shared" si="19"/>
        <v>3.8140000000000001</v>
      </c>
      <c r="T14" s="13">
        <f t="shared" si="20"/>
        <v>3.3402595368496524</v>
      </c>
      <c r="U14" s="14">
        <f t="shared" si="21"/>
        <v>108.85287165365764</v>
      </c>
      <c r="W14" s="549" t="str">
        <f t="shared" si="22"/>
        <v>Max @ Rear</v>
      </c>
      <c r="X14" s="76">
        <f t="shared" si="23"/>
        <v>45.492759843814909</v>
      </c>
      <c r="Y14" s="76">
        <f t="shared" si="24"/>
        <v>99.534770308256398</v>
      </c>
      <c r="Z14" s="2"/>
      <c r="AA14" s="89">
        <f t="shared" si="5"/>
        <v>132.67671014177918</v>
      </c>
      <c r="AB14" s="90">
        <f t="shared" si="25"/>
        <v>-0.23687023157517387</v>
      </c>
      <c r="AC14" s="91">
        <f t="shared" si="6"/>
        <v>3.8140000000000001</v>
      </c>
      <c r="AD14" s="92">
        <f t="shared" si="7"/>
        <v>3.3402595368496524</v>
      </c>
      <c r="AE14" s="43">
        <f t="shared" si="8"/>
        <v>56.743542007565303</v>
      </c>
      <c r="AF14" s="2"/>
      <c r="AG14" s="89">
        <f t="shared" si="9"/>
        <v>254.51778985822077</v>
      </c>
      <c r="AH14" s="90">
        <f t="shared" si="26"/>
        <v>-0.23687023157517387</v>
      </c>
      <c r="AI14" s="91">
        <f t="shared" si="10"/>
        <v>3.8140000000000001</v>
      </c>
      <c r="AJ14" s="92">
        <f t="shared" si="11"/>
        <v>3.3402595368496524</v>
      </c>
      <c r="AK14" s="550">
        <f t="shared" si="12"/>
        <v>108.85287165365764</v>
      </c>
      <c r="AL14" s="42"/>
      <c r="AM14" s="525">
        <f t="shared" si="13"/>
        <v>120</v>
      </c>
      <c r="AN14" s="526"/>
      <c r="AO14" s="54">
        <f t="shared" si="43"/>
        <v>98.1</v>
      </c>
      <c r="AP14" s="75">
        <f t="shared" si="27"/>
        <v>0</v>
      </c>
      <c r="AQ14" s="75">
        <f t="shared" si="27"/>
        <v>0</v>
      </c>
      <c r="AR14" s="53">
        <f t="shared" si="27"/>
        <v>0</v>
      </c>
      <c r="AS14" s="55">
        <f t="shared" si="27"/>
        <v>0</v>
      </c>
      <c r="AT14" s="2"/>
      <c r="AU14" s="51">
        <f t="shared" si="14"/>
        <v>289.09449999999998</v>
      </c>
      <c r="AV14" s="50">
        <f t="shared" si="15"/>
        <v>-7.2957112639638597E-2</v>
      </c>
      <c r="AW14" s="50">
        <f t="shared" si="16"/>
        <v>0.76086280218788771</v>
      </c>
      <c r="AX14" s="69">
        <f t="shared" si="28"/>
        <v>-5.4771945604723973</v>
      </c>
      <c r="AY14" s="73">
        <f t="shared" si="29"/>
        <v>0.76435263068685622</v>
      </c>
      <c r="AZ14" s="527"/>
      <c r="BA14" s="58">
        <f t="shared" si="30"/>
        <v>0.69540507180914413</v>
      </c>
      <c r="BB14" s="57">
        <f t="shared" si="31"/>
        <v>-0.31724868816125401</v>
      </c>
      <c r="BC14" s="53">
        <f t="shared" si="32"/>
        <v>91.714850879633644</v>
      </c>
      <c r="BD14" s="55">
        <f t="shared" si="33"/>
        <v>201.03778153212861</v>
      </c>
      <c r="BE14" s="2"/>
      <c r="BF14" s="54">
        <f t="shared" si="34"/>
        <v>91.714850879633644</v>
      </c>
      <c r="BG14" s="53">
        <f t="shared" si="34"/>
        <v>201.03778153212861</v>
      </c>
      <c r="BH14" s="57">
        <f t="shared" si="35"/>
        <v>0.51921652175361122</v>
      </c>
      <c r="BI14" s="129">
        <f t="shared" si="36"/>
        <v>-0.23687023157517387</v>
      </c>
      <c r="BJ14" s="66" t="str">
        <f t="shared" si="17"/>
        <v>no</v>
      </c>
      <c r="BK14" s="2"/>
      <c r="BL14" s="70">
        <f t="shared" si="37"/>
        <v>220.97014159210133</v>
      </c>
      <c r="BM14" s="528">
        <f t="shared" si="38"/>
        <v>-65.477194560472398</v>
      </c>
      <c r="BN14" s="121"/>
      <c r="BO14" s="577">
        <f t="shared" si="39"/>
        <v>0.31467667985067349</v>
      </c>
      <c r="BP14" s="578">
        <f t="shared" si="40"/>
        <v>0.12421092374156993</v>
      </c>
      <c r="BR14" s="507" t="str">
        <f t="shared" si="41"/>
        <v>NO-OK</v>
      </c>
      <c r="BS14" s="512" t="str">
        <f t="shared" si="42"/>
        <v>NO-OK</v>
      </c>
    </row>
    <row r="15" spans="1:71" ht="20.100000000000001" customHeight="1" thickBot="1" x14ac:dyDescent="0.3">
      <c r="A15" s="229" t="s">
        <v>78</v>
      </c>
      <c r="B15" s="230">
        <f t="shared" si="46"/>
        <v>0</v>
      </c>
      <c r="C15" s="231">
        <f>+'Input Page'!E44</f>
        <v>0</v>
      </c>
      <c r="D15" s="231">
        <f>+'Input Page'!F44</f>
        <v>0</v>
      </c>
      <c r="E15" s="232">
        <f t="shared" si="44"/>
        <v>0</v>
      </c>
      <c r="F15" s="233">
        <f t="shared" si="45"/>
        <v>0</v>
      </c>
      <c r="G15" s="212">
        <v>0</v>
      </c>
      <c r="H15" s="213">
        <f>+'Input Page'!D44</f>
        <v>0</v>
      </c>
      <c r="I15" s="234">
        <f t="shared" si="47"/>
        <v>-9.9999999999999992E-25</v>
      </c>
      <c r="J15" s="235">
        <f>+'Input Page'!C44</f>
        <v>0</v>
      </c>
      <c r="K15" s="176"/>
      <c r="L15" s="413">
        <f>+IF('Input Page'!$G$68="YES",Handling!L14+15,0)</f>
        <v>135</v>
      </c>
      <c r="M15" s="9">
        <f t="shared" si="0"/>
        <v>72.513765076035654</v>
      </c>
      <c r="N15" s="9">
        <f t="shared" si="1"/>
        <v>83.543742885251461</v>
      </c>
      <c r="O15" s="9">
        <f t="shared" si="2"/>
        <v>22.790607408754077</v>
      </c>
      <c r="P15" s="9">
        <f t="shared" si="3"/>
        <v>144.3439087871871</v>
      </c>
      <c r="Q15" s="10">
        <f t="shared" si="4"/>
        <v>39.376801222949986</v>
      </c>
      <c r="R15" s="11">
        <f t="shared" si="18"/>
        <v>-0.36318219851925487</v>
      </c>
      <c r="S15" s="12">
        <f t="shared" si="19"/>
        <v>3.8140000000000001</v>
      </c>
      <c r="T15" s="85">
        <f t="shared" si="20"/>
        <v>3.0876356029614902</v>
      </c>
      <c r="U15" s="14">
        <f t="shared" si="21"/>
        <v>113.47044763096066</v>
      </c>
      <c r="W15" s="549" t="str">
        <f t="shared" si="22"/>
        <v>Max @ Rear</v>
      </c>
      <c r="X15" s="76">
        <f t="shared" si="23"/>
        <v>31.083704315852032</v>
      </c>
      <c r="Y15" s="76">
        <f t="shared" si="24"/>
        <v>113.94382583621928</v>
      </c>
      <c r="Z15" s="2"/>
      <c r="AA15" s="89">
        <f t="shared" si="5"/>
        <v>141.94572420746798</v>
      </c>
      <c r="AB15" s="90">
        <f t="shared" si="25"/>
        <v>-0.36318219851925487</v>
      </c>
      <c r="AC15" s="91">
        <f t="shared" si="6"/>
        <v>3.8140000000000001</v>
      </c>
      <c r="AD15" s="92">
        <f t="shared" si="7"/>
        <v>3.0876356029614902</v>
      </c>
      <c r="AE15" s="43">
        <f t="shared" si="8"/>
        <v>65.674720752725335</v>
      </c>
      <c r="AF15" s="2"/>
      <c r="AG15" s="89">
        <f t="shared" si="9"/>
        <v>245.24877579253197</v>
      </c>
      <c r="AH15" s="90">
        <f t="shared" si="26"/>
        <v>-0.36318219851925487</v>
      </c>
      <c r="AI15" s="91">
        <f t="shared" si="10"/>
        <v>3.8140000000000001</v>
      </c>
      <c r="AJ15" s="92">
        <f t="shared" si="11"/>
        <v>3.0876356029614902</v>
      </c>
      <c r="AK15" s="550">
        <f t="shared" si="12"/>
        <v>113.47044763096066</v>
      </c>
      <c r="AL15" s="42"/>
      <c r="AM15" s="525">
        <f t="shared" si="13"/>
        <v>135</v>
      </c>
      <c r="AN15" s="526"/>
      <c r="AO15" s="54">
        <f t="shared" si="43"/>
        <v>98.1</v>
      </c>
      <c r="AP15" s="75">
        <f t="shared" si="27"/>
        <v>0</v>
      </c>
      <c r="AQ15" s="75">
        <f t="shared" si="27"/>
        <v>0</v>
      </c>
      <c r="AR15" s="53">
        <f t="shared" si="27"/>
        <v>0</v>
      </c>
      <c r="AS15" s="55">
        <f t="shared" si="27"/>
        <v>0</v>
      </c>
      <c r="AT15" s="2"/>
      <c r="AU15" s="51">
        <f t="shared" si="14"/>
        <v>289.09449999999998</v>
      </c>
      <c r="AV15" s="50">
        <f t="shared" si="15"/>
        <v>-7.2957112639638597E-2</v>
      </c>
      <c r="AW15" s="50">
        <f t="shared" si="16"/>
        <v>0.76086280218788771</v>
      </c>
      <c r="AX15" s="69">
        <f t="shared" si="28"/>
        <v>-5.4771945604723973</v>
      </c>
      <c r="AY15" s="73">
        <f t="shared" si="29"/>
        <v>0.76435263068685622</v>
      </c>
      <c r="AZ15" s="527"/>
      <c r="BA15" s="58">
        <f t="shared" si="30"/>
        <v>0.58959971606293315</v>
      </c>
      <c r="BB15" s="57">
        <f t="shared" si="31"/>
        <v>-0.48642277789637506</v>
      </c>
      <c r="BC15" s="53">
        <f t="shared" si="32"/>
        <v>140.6221497645636</v>
      </c>
      <c r="BD15" s="55">
        <f t="shared" si="33"/>
        <v>170.45003511535563</v>
      </c>
      <c r="BE15" s="2"/>
      <c r="BF15" s="54">
        <f t="shared" si="34"/>
        <v>140.6221497645636</v>
      </c>
      <c r="BG15" s="53">
        <f t="shared" si="34"/>
        <v>170.45003511535563</v>
      </c>
      <c r="BH15" s="57">
        <f t="shared" si="35"/>
        <v>0.44021812064829347</v>
      </c>
      <c r="BI15" s="129">
        <f t="shared" si="36"/>
        <v>-0.36318219851925487</v>
      </c>
      <c r="BJ15" s="66" t="str">
        <f t="shared" si="17"/>
        <v>no</v>
      </c>
      <c r="BK15" s="2"/>
      <c r="BL15" s="70">
        <f t="shared" si="37"/>
        <v>220.97014159210136</v>
      </c>
      <c r="BM15" s="528">
        <f t="shared" si="38"/>
        <v>-50.477194560472377</v>
      </c>
      <c r="BN15" s="121"/>
      <c r="BO15" s="577">
        <f t="shared" si="39"/>
        <v>0.26679886099896577</v>
      </c>
      <c r="BP15" s="578">
        <f t="shared" si="40"/>
        <v>0.19044687913961975</v>
      </c>
      <c r="BR15" s="507" t="str">
        <f t="shared" si="41"/>
        <v>NO-OK</v>
      </c>
      <c r="BS15" s="512" t="str">
        <f t="shared" si="42"/>
        <v>NO-OK</v>
      </c>
    </row>
    <row r="16" spans="1:71" ht="20.100000000000001" customHeight="1" thickBot="1" x14ac:dyDescent="0.3">
      <c r="A16" s="236" t="s">
        <v>157</v>
      </c>
      <c r="B16" s="237">
        <f>+SUM(B4:B15)</f>
        <v>289.09449999999998</v>
      </c>
      <c r="C16" s="238">
        <f>+F16/B16</f>
        <v>-7.2957112639638597E-2</v>
      </c>
      <c r="D16" s="238">
        <f>+E16/B16*-1</f>
        <v>0.76086280218788771</v>
      </c>
      <c r="E16" s="237">
        <f>+SUM(E4:E15)</f>
        <v>-219.96125136710629</v>
      </c>
      <c r="F16" s="239">
        <f>+SUM(F4:F15)</f>
        <v>-21.0915</v>
      </c>
      <c r="G16" s="911" t="s">
        <v>160</v>
      </c>
      <c r="H16" s="912"/>
      <c r="I16" s="240">
        <f>+MAX(I12:I15)</f>
        <v>0</v>
      </c>
      <c r="J16" s="154"/>
      <c r="K16" s="176"/>
      <c r="L16" s="413">
        <f>+IF('Input Page'!$G$68="YES",Handling!L15+15,0)</f>
        <v>150</v>
      </c>
      <c r="M16" s="9">
        <f t="shared" si="0"/>
        <v>72.513765076035654</v>
      </c>
      <c r="N16" s="9">
        <f t="shared" si="1"/>
        <v>100.33080899883666</v>
      </c>
      <c r="O16" s="9">
        <f t="shared" si="2"/>
        <v>15.584019376124438</v>
      </c>
      <c r="P16" s="9">
        <f t="shared" si="3"/>
        <v>150.72817338073978</v>
      </c>
      <c r="Q16" s="10">
        <f t="shared" si="4"/>
        <v>23.412058548441774</v>
      </c>
      <c r="R16" s="11">
        <f t="shared" si="18"/>
        <v>-0.46474389882120909</v>
      </c>
      <c r="S16" s="12">
        <f t="shared" si="19"/>
        <v>3.8140000000000001</v>
      </c>
      <c r="T16" s="13">
        <f t="shared" si="20"/>
        <v>2.8845122023575818</v>
      </c>
      <c r="U16" s="14">
        <f t="shared" si="21"/>
        <v>115.12706447125713</v>
      </c>
      <c r="W16" s="549" t="str">
        <f t="shared" si="22"/>
        <v>Max @ Rear</v>
      </c>
      <c r="X16" s="76">
        <f t="shared" si="23"/>
        <v>19.498038962283104</v>
      </c>
      <c r="Y16" s="76">
        <f t="shared" si="24"/>
        <v>125.52949118978822</v>
      </c>
      <c r="Z16" s="2"/>
      <c r="AA16" s="89">
        <f t="shared" si="5"/>
        <v>154.73470439773556</v>
      </c>
      <c r="AB16" s="90">
        <f t="shared" si="25"/>
        <v>-0.46474389882120909</v>
      </c>
      <c r="AC16" s="91">
        <f t="shared" si="6"/>
        <v>3.8140000000000001</v>
      </c>
      <c r="AD16" s="92">
        <f t="shared" si="7"/>
        <v>2.8845122023575818</v>
      </c>
      <c r="AE16" s="43">
        <f t="shared" si="8"/>
        <v>76.633261433382614</v>
      </c>
      <c r="AF16" s="2"/>
      <c r="AG16" s="89">
        <f t="shared" si="9"/>
        <v>232.45979560226439</v>
      </c>
      <c r="AH16" s="90">
        <f t="shared" si="26"/>
        <v>-0.46474389882120909</v>
      </c>
      <c r="AI16" s="91">
        <f t="shared" si="10"/>
        <v>3.8140000000000001</v>
      </c>
      <c r="AJ16" s="92">
        <f t="shared" si="11"/>
        <v>2.8845122023575818</v>
      </c>
      <c r="AK16" s="550">
        <f t="shared" si="12"/>
        <v>115.12706447125713</v>
      </c>
      <c r="AL16" s="42"/>
      <c r="AM16" s="525">
        <f t="shared" si="13"/>
        <v>150</v>
      </c>
      <c r="AN16" s="526"/>
      <c r="AO16" s="54">
        <f t="shared" si="43"/>
        <v>98.1</v>
      </c>
      <c r="AP16" s="75">
        <f t="shared" si="27"/>
        <v>0</v>
      </c>
      <c r="AQ16" s="75">
        <f t="shared" si="27"/>
        <v>0</v>
      </c>
      <c r="AR16" s="53">
        <f t="shared" si="27"/>
        <v>0</v>
      </c>
      <c r="AS16" s="55">
        <f t="shared" si="27"/>
        <v>0</v>
      </c>
      <c r="AT16" s="2"/>
      <c r="AU16" s="51">
        <f t="shared" si="14"/>
        <v>289.09449999999998</v>
      </c>
      <c r="AV16" s="50">
        <f t="shared" si="15"/>
        <v>-7.2957112639638597E-2</v>
      </c>
      <c r="AW16" s="50">
        <f t="shared" si="16"/>
        <v>0.76086280218788771</v>
      </c>
      <c r="AX16" s="69">
        <f t="shared" si="28"/>
        <v>-5.4771945604723973</v>
      </c>
      <c r="AY16" s="73">
        <f t="shared" si="29"/>
        <v>0.76435263068685622</v>
      </c>
      <c r="AZ16" s="527"/>
      <c r="BA16" s="58">
        <f t="shared" si="30"/>
        <v>0.44361411402663359</v>
      </c>
      <c r="BB16" s="57">
        <f t="shared" si="31"/>
        <v>-0.62244795916950557</v>
      </c>
      <c r="BC16" s="53">
        <f t="shared" si="32"/>
        <v>179.94628153212861</v>
      </c>
      <c r="BD16" s="55">
        <f t="shared" si="33"/>
        <v>128.24640048747261</v>
      </c>
      <c r="BE16" s="2"/>
      <c r="BF16" s="54">
        <f t="shared" si="34"/>
        <v>179.94628153212861</v>
      </c>
      <c r="BG16" s="53">
        <f t="shared" si="34"/>
        <v>128.24640048747261</v>
      </c>
      <c r="BH16" s="57">
        <f t="shared" si="35"/>
        <v>0.33121958211563601</v>
      </c>
      <c r="BI16" s="129">
        <f t="shared" si="36"/>
        <v>-0.46474389882120909</v>
      </c>
      <c r="BJ16" s="66" t="str">
        <f t="shared" si="17"/>
        <v>no</v>
      </c>
      <c r="BK16" s="2"/>
      <c r="BL16" s="70">
        <f t="shared" si="37"/>
        <v>220.97014159210133</v>
      </c>
      <c r="BM16" s="528">
        <f t="shared" si="38"/>
        <v>-35.477194560472398</v>
      </c>
      <c r="BN16" s="121"/>
      <c r="BO16" s="577">
        <f t="shared" si="39"/>
        <v>0.20073914067614304</v>
      </c>
      <c r="BP16" s="578">
        <f t="shared" si="40"/>
        <v>0.2437041944526529</v>
      </c>
      <c r="BR16" s="507" t="str">
        <f t="shared" si="41"/>
        <v>NO-OK</v>
      </c>
      <c r="BS16" s="512" t="str">
        <f t="shared" si="42"/>
        <v>NO-OK</v>
      </c>
    </row>
    <row r="17" spans="1:71" ht="20.100000000000001" customHeight="1" thickBot="1" x14ac:dyDescent="0.3">
      <c r="A17" s="158"/>
      <c r="B17" s="154"/>
      <c r="C17" s="154"/>
      <c r="D17" s="155"/>
      <c r="E17" s="155"/>
      <c r="F17" s="155"/>
      <c r="G17" s="155"/>
      <c r="H17" s="155"/>
      <c r="I17" s="154"/>
      <c r="J17" s="154"/>
      <c r="K17" s="182"/>
      <c r="L17" s="413">
        <f>+IF('Input Page'!$G$68="YES",Handling!L16+15,0)</f>
        <v>165</v>
      </c>
      <c r="M17" s="9">
        <f t="shared" si="0"/>
        <v>72.513765076035654</v>
      </c>
      <c r="N17" s="9">
        <f t="shared" si="1"/>
        <v>117.34853632600891</v>
      </c>
      <c r="O17" s="9">
        <f t="shared" si="2"/>
        <v>10.130752645003355</v>
      </c>
      <c r="P17" s="9">
        <f t="shared" si="3"/>
        <v>149.6559085166607</v>
      </c>
      <c r="Q17" s="10">
        <f t="shared" si="4"/>
        <v>12.919862816469649</v>
      </c>
      <c r="R17" s="11">
        <f t="shared" si="18"/>
        <v>-0.53463407044410449</v>
      </c>
      <c r="S17" s="12">
        <f t="shared" si="19"/>
        <v>3.8140000000000001</v>
      </c>
      <c r="T17" s="13">
        <f t="shared" si="20"/>
        <v>2.7447318591117913</v>
      </c>
      <c r="U17" s="14">
        <f t="shared" si="21"/>
        <v>112.95529466860469</v>
      </c>
      <c r="W17" s="549" t="str">
        <f t="shared" si="22"/>
        <v>Max @ Rear</v>
      </c>
      <c r="X17" s="76">
        <f t="shared" si="23"/>
        <v>11.525307730736502</v>
      </c>
      <c r="Y17" s="76">
        <f t="shared" si="24"/>
        <v>133.50222242133481</v>
      </c>
      <c r="Z17" s="2"/>
      <c r="AA17" s="89">
        <f t="shared" si="5"/>
        <v>170.17210284740426</v>
      </c>
      <c r="AB17" s="90">
        <f t="shared" si="25"/>
        <v>-0.53463407044410449</v>
      </c>
      <c r="AC17" s="91">
        <f t="shared" si="6"/>
        <v>3.8140000000000001</v>
      </c>
      <c r="AD17" s="92">
        <f t="shared" si="7"/>
        <v>2.7447318591117913</v>
      </c>
      <c r="AE17" s="43">
        <f t="shared" si="8"/>
        <v>88.570766306618282</v>
      </c>
      <c r="AF17" s="2"/>
      <c r="AG17" s="89">
        <f t="shared" si="9"/>
        <v>217.02239715259569</v>
      </c>
      <c r="AH17" s="90">
        <f t="shared" si="26"/>
        <v>-0.53463407044410449</v>
      </c>
      <c r="AI17" s="91">
        <f t="shared" si="10"/>
        <v>3.8140000000000001</v>
      </c>
      <c r="AJ17" s="92">
        <f t="shared" si="11"/>
        <v>2.7447318591117913</v>
      </c>
      <c r="AK17" s="550">
        <f t="shared" si="12"/>
        <v>112.95529466860469</v>
      </c>
      <c r="AL17" s="42"/>
      <c r="AM17" s="525">
        <f t="shared" si="13"/>
        <v>165</v>
      </c>
      <c r="AN17" s="526"/>
      <c r="AO17" s="54">
        <f t="shared" si="43"/>
        <v>98.1</v>
      </c>
      <c r="AP17" s="75">
        <f t="shared" si="27"/>
        <v>0</v>
      </c>
      <c r="AQ17" s="75">
        <f t="shared" si="27"/>
        <v>0</v>
      </c>
      <c r="AR17" s="53">
        <f t="shared" si="27"/>
        <v>0</v>
      </c>
      <c r="AS17" s="55">
        <f t="shared" si="27"/>
        <v>0</v>
      </c>
      <c r="AT17" s="2"/>
      <c r="AU17" s="51">
        <f t="shared" si="14"/>
        <v>289.09449999999998</v>
      </c>
      <c r="AV17" s="50">
        <f t="shared" si="15"/>
        <v>-7.2957112639638597E-2</v>
      </c>
      <c r="AW17" s="50">
        <f t="shared" si="16"/>
        <v>0.76086280218788771</v>
      </c>
      <c r="AX17" s="69">
        <f t="shared" si="28"/>
        <v>-5.4771945604723973</v>
      </c>
      <c r="AY17" s="73">
        <f t="shared" si="29"/>
        <v>0.76435263068685622</v>
      </c>
      <c r="AZ17" s="527"/>
      <c r="BA17" s="58">
        <f t="shared" si="30"/>
        <v>0.26739694322640462</v>
      </c>
      <c r="BB17" s="57">
        <f t="shared" si="31"/>
        <v>-0.7160543406691231</v>
      </c>
      <c r="BC17" s="53">
        <f t="shared" si="32"/>
        <v>207.00737158856978</v>
      </c>
      <c r="BD17" s="55">
        <f t="shared" si="33"/>
        <v>77.30298560356583</v>
      </c>
      <c r="BE17" s="2"/>
      <c r="BF17" s="54">
        <f t="shared" si="34"/>
        <v>207.00737158856978</v>
      </c>
      <c r="BG17" s="53">
        <f t="shared" si="34"/>
        <v>77.30298560356583</v>
      </c>
      <c r="BH17" s="57">
        <f t="shared" si="35"/>
        <v>0.19964897642803769</v>
      </c>
      <c r="BI17" s="129">
        <f t="shared" si="36"/>
        <v>-0.53463407044410449</v>
      </c>
      <c r="BJ17" s="66" t="str">
        <f t="shared" si="17"/>
        <v>no</v>
      </c>
      <c r="BK17" s="2"/>
      <c r="BL17" s="70">
        <f t="shared" si="37"/>
        <v>220.97014159210136</v>
      </c>
      <c r="BM17" s="528">
        <f t="shared" si="38"/>
        <v>-20.477194560472384</v>
      </c>
      <c r="BN17" s="121"/>
      <c r="BO17" s="577">
        <f t="shared" si="39"/>
        <v>0.12099937965335618</v>
      </c>
      <c r="BP17" s="578">
        <f t="shared" si="40"/>
        <v>0.28035347165396146</v>
      </c>
      <c r="BR17" s="507" t="str">
        <f t="shared" si="41"/>
        <v>NO-OK</v>
      </c>
      <c r="BS17" s="512" t="str">
        <f t="shared" si="42"/>
        <v>NO-OK</v>
      </c>
    </row>
    <row r="18" spans="1:71" ht="20.100000000000001" customHeight="1" thickBot="1" x14ac:dyDescent="0.3">
      <c r="A18" s="844" t="s">
        <v>154</v>
      </c>
      <c r="B18" s="845"/>
      <c r="C18" s="845"/>
      <c r="D18" s="845"/>
      <c r="E18" s="845"/>
      <c r="F18" s="845"/>
      <c r="G18" s="817" t="s">
        <v>90</v>
      </c>
      <c r="H18" s="861" t="s">
        <v>89</v>
      </c>
      <c r="I18" s="858" t="s">
        <v>158</v>
      </c>
      <c r="J18" s="863" t="s">
        <v>29</v>
      </c>
      <c r="K18" s="241"/>
      <c r="L18" s="413">
        <f>+IF('Input Page'!$G$68="YES",Handling!L17+15,0)</f>
        <v>180</v>
      </c>
      <c r="M18" s="9">
        <f t="shared" si="0"/>
        <v>72.513765076035654</v>
      </c>
      <c r="N18" s="9">
        <f t="shared" si="1"/>
        <v>132.78529150911771</v>
      </c>
      <c r="O18" s="9">
        <f t="shared" si="2"/>
        <v>7.4543416945952181</v>
      </c>
      <c r="P18" s="9">
        <f t="shared" si="3"/>
        <v>141.85209063686318</v>
      </c>
      <c r="Q18" s="10">
        <f t="shared" si="4"/>
        <v>7.9633364635665362</v>
      </c>
      <c r="R18" s="11">
        <f t="shared" si="18"/>
        <v>-0.56808981369080991</v>
      </c>
      <c r="S18" s="12">
        <f t="shared" si="19"/>
        <v>3.8140000000000001</v>
      </c>
      <c r="T18" s="13">
        <f t="shared" si="20"/>
        <v>2.6778203726183802</v>
      </c>
      <c r="U18" s="14">
        <f t="shared" si="21"/>
        <v>106.69050934180591</v>
      </c>
      <c r="W18" s="549" t="str">
        <f t="shared" si="22"/>
        <v>Max @ Rear</v>
      </c>
      <c r="X18" s="76">
        <f t="shared" si="23"/>
        <v>7.7088390790808772</v>
      </c>
      <c r="Y18" s="76">
        <f t="shared" si="24"/>
        <v>137.31869107299045</v>
      </c>
      <c r="Z18" s="2"/>
      <c r="AA18" s="89">
        <f t="shared" si="5"/>
        <v>187.20588636363635</v>
      </c>
      <c r="AB18" s="90">
        <f t="shared" si="25"/>
        <v>-0.56808981369080991</v>
      </c>
      <c r="AC18" s="91">
        <f t="shared" si="6"/>
        <v>3.8140000000000001</v>
      </c>
      <c r="AD18" s="92">
        <f t="shared" si="7"/>
        <v>2.6778203726183802</v>
      </c>
      <c r="AE18" s="43">
        <f t="shared" si="8"/>
        <v>99.871142685340004</v>
      </c>
      <c r="AF18" s="2"/>
      <c r="AG18" s="89">
        <f t="shared" si="9"/>
        <v>199.9886136363636</v>
      </c>
      <c r="AH18" s="90">
        <f t="shared" si="26"/>
        <v>-0.56808981369080991</v>
      </c>
      <c r="AI18" s="91">
        <f t="shared" si="10"/>
        <v>3.8140000000000001</v>
      </c>
      <c r="AJ18" s="92">
        <f t="shared" si="11"/>
        <v>2.6778203726183802</v>
      </c>
      <c r="AK18" s="550">
        <f t="shared" si="12"/>
        <v>106.69050934180591</v>
      </c>
      <c r="AL18" s="42"/>
      <c r="AM18" s="521">
        <f t="shared" si="13"/>
        <v>180</v>
      </c>
      <c r="AN18" s="522"/>
      <c r="AO18" s="60">
        <f t="shared" si="43"/>
        <v>98.1</v>
      </c>
      <c r="AP18" s="74">
        <f t="shared" si="27"/>
        <v>0</v>
      </c>
      <c r="AQ18" s="74">
        <f t="shared" si="27"/>
        <v>0</v>
      </c>
      <c r="AR18" s="61">
        <f t="shared" si="27"/>
        <v>0</v>
      </c>
      <c r="AS18" s="62">
        <f t="shared" si="27"/>
        <v>0</v>
      </c>
      <c r="AT18" s="67"/>
      <c r="AU18" s="63">
        <f t="shared" si="14"/>
        <v>289.09449999999998</v>
      </c>
      <c r="AV18" s="64">
        <f t="shared" si="15"/>
        <v>-7.2957112639638597E-2</v>
      </c>
      <c r="AW18" s="64">
        <f t="shared" si="16"/>
        <v>0.76086280218788771</v>
      </c>
      <c r="AX18" s="68">
        <f t="shared" si="28"/>
        <v>-5.4771945604723973</v>
      </c>
      <c r="AY18" s="72">
        <f t="shared" si="29"/>
        <v>0.76435263068685622</v>
      </c>
      <c r="AZ18" s="523"/>
      <c r="BA18" s="65">
        <f t="shared" si="30"/>
        <v>7.2957112639638361E-2</v>
      </c>
      <c r="BB18" s="66">
        <f t="shared" si="31"/>
        <v>-0.76086280218788771</v>
      </c>
      <c r="BC18" s="61">
        <f t="shared" si="32"/>
        <v>219.96125136710629</v>
      </c>
      <c r="BD18" s="62">
        <f t="shared" si="33"/>
        <v>21.091499999999932</v>
      </c>
      <c r="BE18" s="67"/>
      <c r="BF18" s="60">
        <f t="shared" si="34"/>
        <v>219.96125136710629</v>
      </c>
      <c r="BG18" s="61">
        <f t="shared" si="34"/>
        <v>21.091499999999932</v>
      </c>
      <c r="BH18" s="66">
        <f t="shared" si="35"/>
        <v>5.4472622932402022E-2</v>
      </c>
      <c r="BI18" s="128">
        <f t="shared" si="36"/>
        <v>-0.56808981369080991</v>
      </c>
      <c r="BJ18" s="66" t="str">
        <f t="shared" si="17"/>
        <v>no</v>
      </c>
      <c r="BK18" s="2"/>
      <c r="BL18" s="71">
        <f t="shared" si="37"/>
        <v>220.97014159210136</v>
      </c>
      <c r="BM18" s="524">
        <f t="shared" si="38"/>
        <v>-5.4771945604723813</v>
      </c>
      <c r="BN18" s="120"/>
      <c r="BO18" s="577">
        <f t="shared" si="39"/>
        <v>3.3013710868122437E-2</v>
      </c>
      <c r="BP18" s="578">
        <f t="shared" si="40"/>
        <v>0.2978971230680702</v>
      </c>
      <c r="BR18" s="507" t="str">
        <f t="shared" si="41"/>
        <v>NO-OK</v>
      </c>
      <c r="BS18" s="512" t="str">
        <f t="shared" si="42"/>
        <v>NO-OK</v>
      </c>
    </row>
    <row r="19" spans="1:71" ht="19.5" customHeight="1" thickBot="1" x14ac:dyDescent="0.3">
      <c r="A19" s="242" t="s">
        <v>155</v>
      </c>
      <c r="B19" s="194">
        <f>+'Input Page'!D57</f>
        <v>98.1</v>
      </c>
      <c r="C19" s="195">
        <f>+'Input Page'!E57</f>
        <v>9.9999999999999992E-25</v>
      </c>
      <c r="D19" s="195">
        <f>+'Input Page'!F57</f>
        <v>-9.9999999999999992E-25</v>
      </c>
      <c r="E19" s="194">
        <f>+'Input Page'!G57</f>
        <v>0</v>
      </c>
      <c r="F19" s="243">
        <f>+'Input Page'!H57</f>
        <v>0</v>
      </c>
      <c r="G19" s="860"/>
      <c r="H19" s="862"/>
      <c r="I19" s="859"/>
      <c r="J19" s="864"/>
      <c r="K19" s="241" t="s">
        <v>211</v>
      </c>
      <c r="L19" s="413">
        <f>+IF('Input Page'!$G$68="YES",Handling!L18+15,0)</f>
        <v>195</v>
      </c>
      <c r="M19" s="9">
        <f t="shared" si="0"/>
        <v>72.513765076035654</v>
      </c>
      <c r="N19" s="9">
        <f t="shared" si="1"/>
        <v>144.54210590479553</v>
      </c>
      <c r="O19" s="9">
        <f t="shared" si="2"/>
        <v>8.7841587962748235</v>
      </c>
      <c r="P19" s="9">
        <f t="shared" si="3"/>
        <v>128.89551632151935</v>
      </c>
      <c r="Q19" s="10">
        <f t="shared" si="4"/>
        <v>7.8332792815528975</v>
      </c>
      <c r="R19" s="11">
        <f t="shared" si="18"/>
        <v>-0.5628311749472924</v>
      </c>
      <c r="S19" s="12">
        <f t="shared" si="19"/>
        <v>3.8140000000000001</v>
      </c>
      <c r="T19" s="13">
        <f t="shared" si="20"/>
        <v>2.6883376501054155</v>
      </c>
      <c r="U19" s="14">
        <f t="shared" si="21"/>
        <v>108.76356501329951</v>
      </c>
      <c r="W19" s="549" t="str">
        <f t="shared" si="22"/>
        <v>Max @ Rear</v>
      </c>
      <c r="X19" s="76">
        <f t="shared" si="23"/>
        <v>8.3087190389138605</v>
      </c>
      <c r="Y19" s="76">
        <f t="shared" si="24"/>
        <v>136.71881111315744</v>
      </c>
      <c r="Z19" s="2"/>
      <c r="AA19" s="89">
        <f t="shared" si="5"/>
        <v>204.67523074945879</v>
      </c>
      <c r="AB19" s="90">
        <f t="shared" si="25"/>
        <v>-0.5628311749472924</v>
      </c>
      <c r="AC19" s="91">
        <f t="shared" si="6"/>
        <v>3.8140000000000001</v>
      </c>
      <c r="AD19" s="92">
        <f t="shared" si="7"/>
        <v>2.6883376501054155</v>
      </c>
      <c r="AE19" s="43">
        <f t="shared" si="8"/>
        <v>108.76356501329951</v>
      </c>
      <c r="AF19" s="2"/>
      <c r="AG19" s="89">
        <f t="shared" si="9"/>
        <v>182.51926925054116</v>
      </c>
      <c r="AH19" s="90">
        <f t="shared" si="26"/>
        <v>-0.5628311749472924</v>
      </c>
      <c r="AI19" s="91">
        <f t="shared" si="10"/>
        <v>3.8140000000000001</v>
      </c>
      <c r="AJ19" s="92">
        <f t="shared" si="11"/>
        <v>2.6883376501054155</v>
      </c>
      <c r="AK19" s="550">
        <f t="shared" si="12"/>
        <v>96.989979366927557</v>
      </c>
      <c r="AL19" s="42"/>
      <c r="AM19" s="525">
        <f t="shared" si="13"/>
        <v>195</v>
      </c>
      <c r="AN19" s="526"/>
      <c r="AO19" s="54">
        <f t="shared" si="43"/>
        <v>98.1</v>
      </c>
      <c r="AP19" s="75">
        <f t="shared" si="27"/>
        <v>0</v>
      </c>
      <c r="AQ19" s="75">
        <f t="shared" si="27"/>
        <v>0</v>
      </c>
      <c r="AR19" s="53">
        <f t="shared" si="27"/>
        <v>0</v>
      </c>
      <c r="AS19" s="55">
        <f t="shared" si="27"/>
        <v>0</v>
      </c>
      <c r="AT19" s="2"/>
      <c r="AU19" s="51">
        <f t="shared" si="14"/>
        <v>289.09449999999998</v>
      </c>
      <c r="AV19" s="50">
        <f t="shared" si="15"/>
        <v>-7.2957112639638597E-2</v>
      </c>
      <c r="AW19" s="50">
        <f t="shared" si="16"/>
        <v>0.76086280218788771</v>
      </c>
      <c r="AX19" s="69">
        <f t="shared" si="28"/>
        <v>-5.4771945604723973</v>
      </c>
      <c r="AY19" s="73">
        <f t="shared" si="29"/>
        <v>0.76435263068685622</v>
      </c>
      <c r="AZ19" s="527"/>
      <c r="BA19" s="58">
        <f t="shared" si="30"/>
        <v>-0.1264546246061897</v>
      </c>
      <c r="BB19" s="57">
        <f t="shared" si="31"/>
        <v>-0.75381972112277962</v>
      </c>
      <c r="BC19" s="53">
        <f t="shared" si="32"/>
        <v>217.92513536812939</v>
      </c>
      <c r="BD19" s="55">
        <f t="shared" si="33"/>
        <v>-36.557336473214107</v>
      </c>
      <c r="BE19" s="2"/>
      <c r="BF19" s="54">
        <f t="shared" si="34"/>
        <v>217.92513536812939</v>
      </c>
      <c r="BG19" s="53">
        <f t="shared" si="34"/>
        <v>-36.557336473214107</v>
      </c>
      <c r="BH19" s="57">
        <f t="shared" si="35"/>
        <v>-9.4415949795810916E-2</v>
      </c>
      <c r="BI19" s="129">
        <f t="shared" si="36"/>
        <v>-0.5628311749472924</v>
      </c>
      <c r="BJ19" s="66" t="str">
        <f t="shared" si="17"/>
        <v>no</v>
      </c>
      <c r="BK19" s="2"/>
      <c r="BL19" s="70">
        <f t="shared" si="37"/>
        <v>220.97014159210133</v>
      </c>
      <c r="BM19" s="528">
        <f t="shared" si="38"/>
        <v>9.5228054395276054</v>
      </c>
      <c r="BN19" s="121"/>
      <c r="BO19" s="577">
        <f t="shared" si="39"/>
        <v>5.7221787755036925E-2</v>
      </c>
      <c r="BP19" s="578">
        <f t="shared" si="40"/>
        <v>0.29513957784336253</v>
      </c>
      <c r="BR19" s="507" t="str">
        <f t="shared" si="41"/>
        <v>NO-OK</v>
      </c>
      <c r="BS19" s="512" t="str">
        <f t="shared" si="42"/>
        <v>NO-OK</v>
      </c>
    </row>
    <row r="20" spans="1:71" ht="19.5" customHeight="1" x14ac:dyDescent="0.25">
      <c r="A20" s="244" t="s">
        <v>74</v>
      </c>
      <c r="B20" s="245">
        <f>+G20</f>
        <v>0</v>
      </c>
      <c r="C20" s="246">
        <f>+'Input Page'!E62</f>
        <v>0</v>
      </c>
      <c r="D20" s="246">
        <f>+'Input Page'!F62</f>
        <v>0</v>
      </c>
      <c r="E20" s="245">
        <f>+B20*D20*-1</f>
        <v>0</v>
      </c>
      <c r="F20" s="247">
        <f>+B20*C20</f>
        <v>0</v>
      </c>
      <c r="G20" s="248">
        <v>0</v>
      </c>
      <c r="H20" s="249">
        <f>+'Input Page'!D62</f>
        <v>0</v>
      </c>
      <c r="I20" s="221">
        <f>+IF(J20=0,-1E-24,G20/J20*-1)</f>
        <v>-9.9999999999999992E-25</v>
      </c>
      <c r="J20" s="222">
        <f>+'Input Page'!C62</f>
        <v>0</v>
      </c>
      <c r="K20" s="241"/>
      <c r="L20" s="413">
        <f>+IF('Input Page'!$G$68="YES",Handling!L19+15,0)</f>
        <v>210</v>
      </c>
      <c r="M20" s="9">
        <f t="shared" si="0"/>
        <v>72.513765076035654</v>
      </c>
      <c r="N20" s="9">
        <f t="shared" si="1"/>
        <v>150.65625408302759</v>
      </c>
      <c r="O20" s="9">
        <f t="shared" si="2"/>
        <v>15.191097070193198</v>
      </c>
      <c r="P20" s="9">
        <f t="shared" si="3"/>
        <v>112.8306726564723</v>
      </c>
      <c r="Q20" s="10">
        <f t="shared" si="4"/>
        <v>11.377036494449516</v>
      </c>
      <c r="R20" s="11">
        <f t="shared" si="18"/>
        <v>-0.51921652175361122</v>
      </c>
      <c r="S20" s="12">
        <f t="shared" si="19"/>
        <v>3.8140000000000001</v>
      </c>
      <c r="T20" s="13">
        <f t="shared" si="20"/>
        <v>2.7755669564927778</v>
      </c>
      <c r="U20" s="14">
        <f t="shared" si="21"/>
        <v>113.94821440331376</v>
      </c>
      <c r="W20" s="549" t="str">
        <f t="shared" si="22"/>
        <v>Max @ Rear</v>
      </c>
      <c r="X20" s="76">
        <f t="shared" si="23"/>
        <v>13.284066782321357</v>
      </c>
      <c r="Y20" s="76">
        <f t="shared" si="24"/>
        <v>131.74346336974995</v>
      </c>
      <c r="Z20" s="2"/>
      <c r="AA20" s="89">
        <f t="shared" si="5"/>
        <v>221.38962905443444</v>
      </c>
      <c r="AB20" s="90">
        <f t="shared" si="25"/>
        <v>-0.51921652175361122</v>
      </c>
      <c r="AC20" s="91">
        <f t="shared" si="6"/>
        <v>3.8140000000000001</v>
      </c>
      <c r="AD20" s="92">
        <f t="shared" si="7"/>
        <v>2.7755669564927778</v>
      </c>
      <c r="AE20" s="43">
        <f t="shared" si="8"/>
        <v>113.94821440331376</v>
      </c>
      <c r="AF20" s="2"/>
      <c r="AG20" s="89">
        <f t="shared" si="9"/>
        <v>165.80487094556551</v>
      </c>
      <c r="AH20" s="90">
        <f t="shared" si="26"/>
        <v>-0.51921652175361122</v>
      </c>
      <c r="AI20" s="91">
        <f t="shared" si="10"/>
        <v>3.8140000000000001</v>
      </c>
      <c r="AJ20" s="92">
        <f t="shared" si="11"/>
        <v>2.7755669564927778</v>
      </c>
      <c r="AK20" s="550">
        <f t="shared" si="12"/>
        <v>85.33899742419139</v>
      </c>
      <c r="AL20" s="42"/>
      <c r="AM20" s="525">
        <f t="shared" si="13"/>
        <v>210</v>
      </c>
      <c r="AN20" s="526"/>
      <c r="AO20" s="54">
        <f t="shared" si="43"/>
        <v>98.1</v>
      </c>
      <c r="AP20" s="75">
        <f t="shared" si="27"/>
        <v>0</v>
      </c>
      <c r="AQ20" s="75">
        <f t="shared" si="27"/>
        <v>0</v>
      </c>
      <c r="AR20" s="53">
        <f t="shared" si="27"/>
        <v>0</v>
      </c>
      <c r="AS20" s="55">
        <f t="shared" si="27"/>
        <v>0</v>
      </c>
      <c r="AT20" s="2"/>
      <c r="AU20" s="51">
        <f t="shared" si="14"/>
        <v>289.09449999999998</v>
      </c>
      <c r="AV20" s="50">
        <f t="shared" si="15"/>
        <v>-7.2957112639638597E-2</v>
      </c>
      <c r="AW20" s="50">
        <f t="shared" si="16"/>
        <v>0.76086280218788771</v>
      </c>
      <c r="AX20" s="69">
        <f t="shared" si="28"/>
        <v>-5.4771945604723973</v>
      </c>
      <c r="AY20" s="73">
        <f t="shared" si="29"/>
        <v>0.76435263068685622</v>
      </c>
      <c r="AZ20" s="527"/>
      <c r="BA20" s="58">
        <f t="shared" si="30"/>
        <v>-0.31724868816125418</v>
      </c>
      <c r="BB20" s="57">
        <f t="shared" si="31"/>
        <v>-0.69540507180914413</v>
      </c>
      <c r="BC20" s="53">
        <f t="shared" si="32"/>
        <v>201.03778153212861</v>
      </c>
      <c r="BD20" s="55">
        <f t="shared" si="33"/>
        <v>-91.714850879633687</v>
      </c>
      <c r="BE20" s="2"/>
      <c r="BF20" s="54">
        <f t="shared" si="34"/>
        <v>201.03778153212861</v>
      </c>
      <c r="BG20" s="53">
        <f t="shared" si="34"/>
        <v>-91.714850879633687</v>
      </c>
      <c r="BH20" s="57">
        <f t="shared" si="35"/>
        <v>-0.23687023157517398</v>
      </c>
      <c r="BI20" s="129">
        <f t="shared" si="36"/>
        <v>-0.51921652175361122</v>
      </c>
      <c r="BJ20" s="66" t="str">
        <f t="shared" si="17"/>
        <v>no</v>
      </c>
      <c r="BK20" s="2"/>
      <c r="BL20" s="70">
        <f t="shared" si="37"/>
        <v>220.97014159210133</v>
      </c>
      <c r="BM20" s="528">
        <f t="shared" si="38"/>
        <v>24.522805439527616</v>
      </c>
      <c r="BN20" s="121"/>
      <c r="BO20" s="577">
        <f t="shared" si="39"/>
        <v>0.14355771610616605</v>
      </c>
      <c r="BP20" s="578">
        <f t="shared" si="40"/>
        <v>0.2722687581298433</v>
      </c>
      <c r="BR20" s="507" t="str">
        <f t="shared" si="41"/>
        <v>NO-OK</v>
      </c>
      <c r="BS20" s="512" t="str">
        <f t="shared" si="42"/>
        <v>NO-OK</v>
      </c>
    </row>
    <row r="21" spans="1:71" ht="18.75" customHeight="1" x14ac:dyDescent="0.25">
      <c r="A21" s="200" t="s">
        <v>75</v>
      </c>
      <c r="B21" s="201">
        <f>+G21</f>
        <v>0</v>
      </c>
      <c r="C21" s="202">
        <f>+'Input Page'!E63</f>
        <v>0</v>
      </c>
      <c r="D21" s="202">
        <f>+'Input Page'!F63</f>
        <v>0</v>
      </c>
      <c r="E21" s="201">
        <f t="shared" ref="E21:E23" si="48">+B21*D21*-1</f>
        <v>0</v>
      </c>
      <c r="F21" s="250">
        <f t="shared" ref="F21:F23" si="49">+B21*C21</f>
        <v>0</v>
      </c>
      <c r="G21" s="251">
        <v>0</v>
      </c>
      <c r="H21" s="252">
        <f>+'Input Page'!D63</f>
        <v>0</v>
      </c>
      <c r="I21" s="221">
        <f t="shared" ref="I21:I23" si="50">+IF(J21=0,-1E-24,G21/J21*-1)</f>
        <v>-9.9999999999999992E-25</v>
      </c>
      <c r="J21" s="222">
        <f>+'Input Page'!C63</f>
        <v>0</v>
      </c>
      <c r="K21" s="241"/>
      <c r="L21" s="413">
        <f>+IF('Input Page'!$G$68="YES",Handling!L20+15,0)</f>
        <v>225</v>
      </c>
      <c r="M21" s="9">
        <f t="shared" si="0"/>
        <v>72.513765076035654</v>
      </c>
      <c r="N21" s="9">
        <f t="shared" si="1"/>
        <v>149.74623812049151</v>
      </c>
      <c r="O21" s="9">
        <f t="shared" si="2"/>
        <v>27.203363090032404</v>
      </c>
      <c r="P21" s="9">
        <f t="shared" si="3"/>
        <v>95.717181018169015</v>
      </c>
      <c r="Q21" s="10">
        <f t="shared" si="4"/>
        <v>17.38827807544968</v>
      </c>
      <c r="R21" s="11">
        <f t="shared" si="18"/>
        <v>-0.44021812064829347</v>
      </c>
      <c r="S21" s="12">
        <f t="shared" si="19"/>
        <v>3.8140000000000001</v>
      </c>
      <c r="T21" s="13">
        <f t="shared" si="20"/>
        <v>2.9335637587034133</v>
      </c>
      <c r="U21" s="14">
        <f t="shared" si="21"/>
        <v>115.02831275009112</v>
      </c>
      <c r="W21" s="549" t="str">
        <f t="shared" si="22"/>
        <v>Max @ Rear</v>
      </c>
      <c r="X21" s="76">
        <f t="shared" si="23"/>
        <v>22.29582058274104</v>
      </c>
      <c r="Y21" s="76">
        <f t="shared" si="24"/>
        <v>122.73170956933026</v>
      </c>
      <c r="Z21" s="2"/>
      <c r="AA21" s="89">
        <f t="shared" si="5"/>
        <v>236.21002265592836</v>
      </c>
      <c r="AB21" s="90">
        <f t="shared" si="25"/>
        <v>-0.44021812064829347</v>
      </c>
      <c r="AC21" s="91">
        <f t="shared" si="6"/>
        <v>3.8140000000000001</v>
      </c>
      <c r="AD21" s="92">
        <f t="shared" si="7"/>
        <v>2.9335637587034133</v>
      </c>
      <c r="AE21" s="43">
        <f t="shared" si="8"/>
        <v>115.02831275009112</v>
      </c>
      <c r="AF21" s="2"/>
      <c r="AG21" s="89">
        <f t="shared" si="9"/>
        <v>150.98447734407159</v>
      </c>
      <c r="AH21" s="90">
        <f t="shared" si="26"/>
        <v>-0.44021812064829347</v>
      </c>
      <c r="AI21" s="91">
        <f t="shared" si="10"/>
        <v>3.8140000000000001</v>
      </c>
      <c r="AJ21" s="92">
        <f t="shared" si="11"/>
        <v>2.9335637587034133</v>
      </c>
      <c r="AK21" s="550">
        <f t="shared" si="12"/>
        <v>73.525625564335172</v>
      </c>
      <c r="AL21" s="42"/>
      <c r="AM21" s="525">
        <f t="shared" si="13"/>
        <v>225</v>
      </c>
      <c r="AN21" s="526"/>
      <c r="AO21" s="54">
        <f t="shared" si="43"/>
        <v>98.1</v>
      </c>
      <c r="AP21" s="75">
        <f t="shared" si="27"/>
        <v>0</v>
      </c>
      <c r="AQ21" s="75">
        <f t="shared" si="27"/>
        <v>0</v>
      </c>
      <c r="AR21" s="53">
        <f t="shared" si="27"/>
        <v>0</v>
      </c>
      <c r="AS21" s="55">
        <f t="shared" si="27"/>
        <v>0</v>
      </c>
      <c r="AT21" s="2"/>
      <c r="AU21" s="51">
        <f t="shared" si="14"/>
        <v>289.09449999999998</v>
      </c>
      <c r="AV21" s="50">
        <f t="shared" si="15"/>
        <v>-7.2957112639638597E-2</v>
      </c>
      <c r="AW21" s="50">
        <f t="shared" si="16"/>
        <v>0.76086280218788771</v>
      </c>
      <c r="AX21" s="69">
        <f t="shared" si="28"/>
        <v>-5.4771945604723973</v>
      </c>
      <c r="AY21" s="73">
        <f t="shared" si="29"/>
        <v>0.76435263068685622</v>
      </c>
      <c r="AZ21" s="527"/>
      <c r="BA21" s="58">
        <f t="shared" si="30"/>
        <v>-0.48642277789637506</v>
      </c>
      <c r="BB21" s="57">
        <f t="shared" si="31"/>
        <v>-0.58959971606293315</v>
      </c>
      <c r="BC21" s="53">
        <f t="shared" si="32"/>
        <v>170.45003511535563</v>
      </c>
      <c r="BD21" s="55">
        <f t="shared" si="33"/>
        <v>-140.6221497645636</v>
      </c>
      <c r="BE21" s="2"/>
      <c r="BF21" s="54">
        <f t="shared" si="34"/>
        <v>170.45003511535563</v>
      </c>
      <c r="BG21" s="53">
        <f t="shared" si="34"/>
        <v>-140.6221497645636</v>
      </c>
      <c r="BH21" s="57">
        <f t="shared" si="35"/>
        <v>-0.36318219851925487</v>
      </c>
      <c r="BI21" s="129">
        <f t="shared" si="36"/>
        <v>-0.44021812064829347</v>
      </c>
      <c r="BJ21" s="66" t="str">
        <f t="shared" si="17"/>
        <v>no</v>
      </c>
      <c r="BK21" s="2"/>
      <c r="BL21" s="70">
        <f t="shared" si="37"/>
        <v>220.97014159210136</v>
      </c>
      <c r="BM21" s="528">
        <f t="shared" si="38"/>
        <v>39.522805439527623</v>
      </c>
      <c r="BN21" s="121"/>
      <c r="BO21" s="577">
        <f t="shared" si="39"/>
        <v>0.22011042334500297</v>
      </c>
      <c r="BP21" s="578">
        <f t="shared" si="40"/>
        <v>0.23084327249517222</v>
      </c>
      <c r="BR21" s="507" t="str">
        <f t="shared" si="41"/>
        <v>NO-OK</v>
      </c>
      <c r="BS21" s="512" t="str">
        <f t="shared" si="42"/>
        <v>NO-OK</v>
      </c>
    </row>
    <row r="22" spans="1:71" ht="20.100000000000001" customHeight="1" x14ac:dyDescent="0.25">
      <c r="A22" s="200" t="s">
        <v>77</v>
      </c>
      <c r="B22" s="201">
        <f>+G22</f>
        <v>0</v>
      </c>
      <c r="C22" s="202">
        <f>+'Input Page'!E64</f>
        <v>0</v>
      </c>
      <c r="D22" s="202">
        <f>+'Input Page'!F64</f>
        <v>0</v>
      </c>
      <c r="E22" s="201">
        <f t="shared" si="48"/>
        <v>0</v>
      </c>
      <c r="F22" s="250">
        <f t="shared" si="49"/>
        <v>0</v>
      </c>
      <c r="G22" s="251">
        <v>0</v>
      </c>
      <c r="H22" s="252">
        <f>+'Input Page'!D64</f>
        <v>0</v>
      </c>
      <c r="I22" s="221">
        <f t="shared" si="50"/>
        <v>-9.9999999999999992E-25</v>
      </c>
      <c r="J22" s="222">
        <f>+'Input Page'!C64</f>
        <v>0</v>
      </c>
      <c r="K22" s="253"/>
      <c r="L22" s="413">
        <f>+IF('Input Page'!$G$68="YES",Handling!L21+15,0)</f>
        <v>240</v>
      </c>
      <c r="M22" s="9">
        <f t="shared" si="0"/>
        <v>72.513765076035654</v>
      </c>
      <c r="N22" s="9">
        <f t="shared" si="1"/>
        <v>141.36445950658558</v>
      </c>
      <c r="O22" s="9">
        <f t="shared" si="2"/>
        <v>44.511955372324586</v>
      </c>
      <c r="P22" s="9">
        <f t="shared" si="3"/>
        <v>79.230912174953829</v>
      </c>
      <c r="Q22" s="10">
        <f t="shared" si="4"/>
        <v>24.947733250278645</v>
      </c>
      <c r="R22" s="11">
        <f t="shared" si="18"/>
        <v>-0.33121958211563607</v>
      </c>
      <c r="S22" s="12">
        <f t="shared" si="19"/>
        <v>3.8140000000000001</v>
      </c>
      <c r="T22" s="13">
        <f t="shared" si="20"/>
        <v>3.1515608357687279</v>
      </c>
      <c r="U22" s="14">
        <f t="shared" si="21"/>
        <v>112.47326059870278</v>
      </c>
      <c r="W22" s="549" t="str">
        <f t="shared" si="22"/>
        <v>Max @ Rear</v>
      </c>
      <c r="X22" s="76">
        <f t="shared" si="23"/>
        <v>34.729844311301619</v>
      </c>
      <c r="Y22" s="76">
        <f t="shared" si="24"/>
        <v>110.2976858407697</v>
      </c>
      <c r="Z22" s="2"/>
      <c r="AA22" s="89">
        <f t="shared" si="5"/>
        <v>248.12642622185712</v>
      </c>
      <c r="AB22" s="90">
        <f t="shared" si="25"/>
        <v>-0.33121958211563607</v>
      </c>
      <c r="AC22" s="91">
        <f t="shared" si="6"/>
        <v>3.8140000000000001</v>
      </c>
      <c r="AD22" s="92">
        <f t="shared" si="7"/>
        <v>3.1515608357687279</v>
      </c>
      <c r="AE22" s="43">
        <f t="shared" si="8"/>
        <v>112.47326059870278</v>
      </c>
      <c r="AF22" s="2"/>
      <c r="AG22" s="89">
        <f t="shared" si="9"/>
        <v>139.06807377814283</v>
      </c>
      <c r="AH22" s="90">
        <f t="shared" si="26"/>
        <v>-0.33121958211563607</v>
      </c>
      <c r="AI22" s="91">
        <f t="shared" si="10"/>
        <v>3.8140000000000001</v>
      </c>
      <c r="AJ22" s="92">
        <f t="shared" si="11"/>
        <v>3.1515608357687279</v>
      </c>
      <c r="AK22" s="550">
        <f t="shared" si="12"/>
        <v>63.038185578118188</v>
      </c>
      <c r="AL22" s="42"/>
      <c r="AM22" s="525">
        <f t="shared" si="13"/>
        <v>240</v>
      </c>
      <c r="AN22" s="526"/>
      <c r="AO22" s="54">
        <f t="shared" si="43"/>
        <v>98.1</v>
      </c>
      <c r="AP22" s="75">
        <f t="shared" si="27"/>
        <v>0</v>
      </c>
      <c r="AQ22" s="75">
        <f t="shared" si="27"/>
        <v>0</v>
      </c>
      <c r="AR22" s="53">
        <f t="shared" si="27"/>
        <v>0</v>
      </c>
      <c r="AS22" s="55">
        <f t="shared" si="27"/>
        <v>0</v>
      </c>
      <c r="AT22" s="2"/>
      <c r="AU22" s="51">
        <f t="shared" si="14"/>
        <v>289.09449999999998</v>
      </c>
      <c r="AV22" s="50">
        <f t="shared" si="15"/>
        <v>-7.2957112639638597E-2</v>
      </c>
      <c r="AW22" s="50">
        <f t="shared" si="16"/>
        <v>0.76086280218788771</v>
      </c>
      <c r="AX22" s="69">
        <f t="shared" si="28"/>
        <v>-5.4771945604723973</v>
      </c>
      <c r="AY22" s="73">
        <f t="shared" si="29"/>
        <v>0.76435263068685622</v>
      </c>
      <c r="AZ22" s="527"/>
      <c r="BA22" s="58">
        <f t="shared" si="30"/>
        <v>-0.62244795916950557</v>
      </c>
      <c r="BB22" s="57">
        <f t="shared" si="31"/>
        <v>-0.4436141140266337</v>
      </c>
      <c r="BC22" s="53">
        <f t="shared" si="32"/>
        <v>128.24640048747264</v>
      </c>
      <c r="BD22" s="55">
        <f t="shared" si="33"/>
        <v>-179.94628153212861</v>
      </c>
      <c r="BE22" s="2"/>
      <c r="BF22" s="54">
        <f t="shared" si="34"/>
        <v>128.24640048747264</v>
      </c>
      <c r="BG22" s="53">
        <f t="shared" si="34"/>
        <v>-179.94628153212861</v>
      </c>
      <c r="BH22" s="57">
        <f t="shared" si="35"/>
        <v>-0.46474389882120909</v>
      </c>
      <c r="BI22" s="129">
        <f t="shared" si="36"/>
        <v>-0.33121958211563607</v>
      </c>
      <c r="BJ22" s="66" t="str">
        <f t="shared" si="17"/>
        <v>no</v>
      </c>
      <c r="BK22" s="2"/>
      <c r="BL22" s="70">
        <f t="shared" si="37"/>
        <v>220.97014159210133</v>
      </c>
      <c r="BM22" s="528">
        <f t="shared" si="38"/>
        <v>54.522805439527602</v>
      </c>
      <c r="BN22" s="121"/>
      <c r="BO22" s="577">
        <f t="shared" si="39"/>
        <v>0.281662968982551</v>
      </c>
      <c r="BP22" s="578">
        <f t="shared" si="40"/>
        <v>0.17368619932650028</v>
      </c>
      <c r="BR22" s="507" t="str">
        <f t="shared" si="41"/>
        <v>NO-OK</v>
      </c>
      <c r="BS22" s="512" t="str">
        <f t="shared" si="42"/>
        <v>NO-OK</v>
      </c>
    </row>
    <row r="23" spans="1:71" ht="16.5" thickBot="1" x14ac:dyDescent="0.3">
      <c r="A23" s="207" t="s">
        <v>78</v>
      </c>
      <c r="B23" s="208">
        <f>+G23</f>
        <v>0</v>
      </c>
      <c r="C23" s="209">
        <f>+'Input Page'!E65</f>
        <v>0</v>
      </c>
      <c r="D23" s="209">
        <f>+'Input Page'!F65</f>
        <v>0</v>
      </c>
      <c r="E23" s="208">
        <f t="shared" si="48"/>
        <v>0</v>
      </c>
      <c r="F23" s="254">
        <f t="shared" si="49"/>
        <v>0</v>
      </c>
      <c r="G23" s="255">
        <v>0</v>
      </c>
      <c r="H23" s="256">
        <f>+'Input Page'!D65</f>
        <v>0</v>
      </c>
      <c r="I23" s="234">
        <f t="shared" si="50"/>
        <v>-9.9999999999999992E-25</v>
      </c>
      <c r="J23" s="235">
        <f>+'Input Page'!C65</f>
        <v>0</v>
      </c>
      <c r="K23" s="253"/>
      <c r="L23" s="413">
        <f>+IF('Input Page'!$G$68="YES",Handling!L22+15,0)</f>
        <v>255</v>
      </c>
      <c r="M23" s="9">
        <f t="shared" si="0"/>
        <v>72.513765076035654</v>
      </c>
      <c r="N23" s="9">
        <f t="shared" si="1"/>
        <v>126.16427306130262</v>
      </c>
      <c r="O23" s="9">
        <f t="shared" si="2"/>
        <v>65.855171497833567</v>
      </c>
      <c r="P23" s="9">
        <f t="shared" si="3"/>
        <v>64.413227644645033</v>
      </c>
      <c r="Q23" s="10">
        <f t="shared" si="4"/>
        <v>33.622388100361434</v>
      </c>
      <c r="R23" s="11">
        <f t="shared" si="18"/>
        <v>-0.1996489764280375</v>
      </c>
      <c r="S23" s="12">
        <f t="shared" si="19"/>
        <v>3.8140000000000001</v>
      </c>
      <c r="T23" s="13">
        <f t="shared" si="20"/>
        <v>3.4147020471439249</v>
      </c>
      <c r="U23" s="14">
        <f t="shared" si="21"/>
        <v>107.23661265865013</v>
      </c>
      <c r="W23" s="549" t="str">
        <f t="shared" si="22"/>
        <v>Max @ Rear</v>
      </c>
      <c r="X23" s="76">
        <f t="shared" si="23"/>
        <v>49.738779799097493</v>
      </c>
      <c r="Y23" s="76">
        <f t="shared" si="24"/>
        <v>95.288750352973821</v>
      </c>
      <c r="Z23" s="2"/>
      <c r="AA23" s="89">
        <f t="shared" si="5"/>
        <v>256.32675654199085</v>
      </c>
      <c r="AB23" s="90">
        <f t="shared" si="25"/>
        <v>-0.1996489764280375</v>
      </c>
      <c r="AC23" s="91">
        <f t="shared" si="6"/>
        <v>3.8140000000000001</v>
      </c>
      <c r="AD23" s="92">
        <f t="shared" si="7"/>
        <v>3.4147020471439249</v>
      </c>
      <c r="AE23" s="43">
        <f t="shared" si="8"/>
        <v>107.23661265865013</v>
      </c>
      <c r="AF23" s="2"/>
      <c r="AG23" s="89">
        <f t="shared" si="9"/>
        <v>130.8677434580091</v>
      </c>
      <c r="AH23" s="90">
        <f t="shared" si="26"/>
        <v>-0.1996489764280375</v>
      </c>
      <c r="AI23" s="91">
        <f t="shared" si="10"/>
        <v>3.8140000000000001</v>
      </c>
      <c r="AJ23" s="92">
        <f t="shared" si="11"/>
        <v>3.4147020471439249</v>
      </c>
      <c r="AK23" s="550">
        <f t="shared" si="12"/>
        <v>54.749701919702375</v>
      </c>
      <c r="AL23" s="42"/>
      <c r="AM23" s="525">
        <f t="shared" si="13"/>
        <v>255</v>
      </c>
      <c r="AN23" s="526"/>
      <c r="AO23" s="54">
        <f t="shared" si="43"/>
        <v>98.1</v>
      </c>
      <c r="AP23" s="75">
        <f t="shared" si="43"/>
        <v>0</v>
      </c>
      <c r="AQ23" s="75">
        <f t="shared" si="43"/>
        <v>0</v>
      </c>
      <c r="AR23" s="53">
        <f t="shared" si="43"/>
        <v>0</v>
      </c>
      <c r="AS23" s="55">
        <f t="shared" si="43"/>
        <v>0</v>
      </c>
      <c r="AT23" s="2"/>
      <c r="AU23" s="51">
        <f t="shared" si="14"/>
        <v>289.09449999999998</v>
      </c>
      <c r="AV23" s="50">
        <f t="shared" si="15"/>
        <v>-7.2957112639638597E-2</v>
      </c>
      <c r="AW23" s="50">
        <f t="shared" si="16"/>
        <v>0.76086280218788771</v>
      </c>
      <c r="AX23" s="69">
        <f t="shared" si="28"/>
        <v>-5.4771945604723973</v>
      </c>
      <c r="AY23" s="73">
        <f t="shared" si="29"/>
        <v>0.76435263068685622</v>
      </c>
      <c r="AZ23" s="527"/>
      <c r="BA23" s="58">
        <f t="shared" si="30"/>
        <v>-0.71605434066912321</v>
      </c>
      <c r="BB23" s="57">
        <f t="shared" si="31"/>
        <v>-0.26739694322640439</v>
      </c>
      <c r="BC23" s="53">
        <f t="shared" si="32"/>
        <v>77.302985603565759</v>
      </c>
      <c r="BD23" s="55">
        <f t="shared" si="33"/>
        <v>-207.00737158856984</v>
      </c>
      <c r="BE23" s="2"/>
      <c r="BF23" s="54">
        <f t="shared" si="34"/>
        <v>77.302985603565759</v>
      </c>
      <c r="BG23" s="53">
        <f t="shared" si="34"/>
        <v>-207.00737158856984</v>
      </c>
      <c r="BH23" s="57">
        <f t="shared" si="35"/>
        <v>-0.5346340704441046</v>
      </c>
      <c r="BI23" s="129">
        <f t="shared" si="36"/>
        <v>-0.1996489764280375</v>
      </c>
      <c r="BJ23" s="66" t="str">
        <f t="shared" si="17"/>
        <v>no</v>
      </c>
      <c r="BK23" s="2"/>
      <c r="BL23" s="70">
        <f t="shared" si="37"/>
        <v>220.97014159210136</v>
      </c>
      <c r="BM23" s="528">
        <f t="shared" si="38"/>
        <v>69.522805439527644</v>
      </c>
      <c r="BN23" s="121"/>
      <c r="BO23" s="577">
        <f t="shared" si="39"/>
        <v>0.32402064875400283</v>
      </c>
      <c r="BP23" s="578">
        <f t="shared" si="40"/>
        <v>0.10469269870374279</v>
      </c>
      <c r="BR23" s="507" t="str">
        <f t="shared" si="41"/>
        <v>NO-OK</v>
      </c>
      <c r="BS23" s="512" t="str">
        <f t="shared" si="42"/>
        <v>NO-OK</v>
      </c>
    </row>
    <row r="24" spans="1:71" ht="16.5" thickBot="1" x14ac:dyDescent="0.3">
      <c r="A24" s="831" t="s">
        <v>156</v>
      </c>
      <c r="B24" s="829">
        <f>+SUM(B19:B23)</f>
        <v>98.1</v>
      </c>
      <c r="C24" s="825">
        <f>+F24/B24</f>
        <v>0</v>
      </c>
      <c r="D24" s="825">
        <f>+E24/B24*-1</f>
        <v>0</v>
      </c>
      <c r="E24" s="829">
        <f>+SUM(E19:E23)</f>
        <v>0</v>
      </c>
      <c r="F24" s="842">
        <f>+SUM(F19:F23)</f>
        <v>0</v>
      </c>
      <c r="G24" s="913" t="s">
        <v>160</v>
      </c>
      <c r="H24" s="913"/>
      <c r="I24" s="240">
        <f>+MAX(I20:I23)</f>
        <v>-9.9999999999999992E-25</v>
      </c>
      <c r="J24" s="154"/>
      <c r="K24" s="253"/>
      <c r="L24" s="413">
        <f>+IF('Input Page'!$G$68="YES",Handling!L23+15,0)</f>
        <v>270</v>
      </c>
      <c r="M24" s="9">
        <f t="shared" si="0"/>
        <v>72.513765076035654</v>
      </c>
      <c r="N24" s="9">
        <f t="shared" si="1"/>
        <v>105.83344973482087</v>
      </c>
      <c r="O24" s="9">
        <f t="shared" si="2"/>
        <v>89.126603195510171</v>
      </c>
      <c r="P24" s="9">
        <f t="shared" si="3"/>
        <v>51.62202477717404</v>
      </c>
      <c r="Q24" s="10">
        <f t="shared" si="4"/>
        <v>43.472982596637571</v>
      </c>
      <c r="R24" s="11">
        <f t="shared" si="18"/>
        <v>-5.4472622932402556E-2</v>
      </c>
      <c r="S24" s="12">
        <f t="shared" si="19"/>
        <v>3.8140000000000001</v>
      </c>
      <c r="T24" s="13">
        <f t="shared" si="20"/>
        <v>3.7050547541351948</v>
      </c>
      <c r="U24" s="14">
        <f t="shared" si="21"/>
        <v>100.3463769390154</v>
      </c>
      <c r="W24" s="549" t="str">
        <f t="shared" si="22"/>
        <v>Max @ Rear</v>
      </c>
      <c r="X24" s="76">
        <f t="shared" si="23"/>
        <v>66.299792896073868</v>
      </c>
      <c r="Y24" s="76">
        <f t="shared" si="24"/>
        <v>78.727737255997454</v>
      </c>
      <c r="Z24" s="2"/>
      <c r="AA24" s="89">
        <f t="shared" si="5"/>
        <v>260.25217465669886</v>
      </c>
      <c r="AB24" s="90">
        <f t="shared" si="25"/>
        <v>-5.4472622932402556E-2</v>
      </c>
      <c r="AC24" s="91">
        <f t="shared" si="6"/>
        <v>3.8140000000000001</v>
      </c>
      <c r="AD24" s="92">
        <f t="shared" si="7"/>
        <v>3.7050547541351948</v>
      </c>
      <c r="AE24" s="43">
        <f t="shared" si="8"/>
        <v>100.3463769390154</v>
      </c>
      <c r="AF24" s="2"/>
      <c r="AG24" s="89">
        <f t="shared" si="9"/>
        <v>126.94232534330109</v>
      </c>
      <c r="AH24" s="90">
        <f t="shared" si="26"/>
        <v>-5.4472622932402556E-2</v>
      </c>
      <c r="AI24" s="91">
        <f t="shared" si="10"/>
        <v>3.8140000000000001</v>
      </c>
      <c r="AJ24" s="92">
        <f t="shared" si="11"/>
        <v>3.7050547541351948</v>
      </c>
      <c r="AK24" s="550">
        <f t="shared" si="12"/>
        <v>48.945613788692086</v>
      </c>
      <c r="AL24" s="42"/>
      <c r="AM24" s="521">
        <f t="shared" si="13"/>
        <v>270</v>
      </c>
      <c r="AN24" s="522"/>
      <c r="AO24" s="60">
        <f t="shared" si="43"/>
        <v>98.1</v>
      </c>
      <c r="AP24" s="74">
        <f t="shared" si="43"/>
        <v>0</v>
      </c>
      <c r="AQ24" s="74">
        <f t="shared" si="43"/>
        <v>0</v>
      </c>
      <c r="AR24" s="61">
        <f t="shared" si="43"/>
        <v>0</v>
      </c>
      <c r="AS24" s="62">
        <f t="shared" si="43"/>
        <v>0</v>
      </c>
      <c r="AT24" s="67"/>
      <c r="AU24" s="63">
        <f t="shared" si="14"/>
        <v>289.09449999999998</v>
      </c>
      <c r="AV24" s="64">
        <f t="shared" si="15"/>
        <v>-7.2957112639638597E-2</v>
      </c>
      <c r="AW24" s="64">
        <f t="shared" si="16"/>
        <v>0.76086280218788771</v>
      </c>
      <c r="AX24" s="68">
        <f t="shared" si="28"/>
        <v>-5.4771945604723973</v>
      </c>
      <c r="AY24" s="72">
        <f t="shared" si="29"/>
        <v>0.76435263068685622</v>
      </c>
      <c r="AZ24" s="523"/>
      <c r="BA24" s="65">
        <f t="shared" si="30"/>
        <v>-0.7608628021878876</v>
      </c>
      <c r="BB24" s="66">
        <f t="shared" si="31"/>
        <v>-7.2957112639639082E-2</v>
      </c>
      <c r="BC24" s="61">
        <f t="shared" si="32"/>
        <v>21.091500000000138</v>
      </c>
      <c r="BD24" s="62">
        <f t="shared" si="33"/>
        <v>-219.96125136710626</v>
      </c>
      <c r="BE24" s="67"/>
      <c r="BF24" s="60">
        <f t="shared" si="34"/>
        <v>21.091500000000138</v>
      </c>
      <c r="BG24" s="61">
        <f t="shared" si="34"/>
        <v>-219.96125136710626</v>
      </c>
      <c r="BH24" s="66">
        <f t="shared" si="35"/>
        <v>-0.56808981369080991</v>
      </c>
      <c r="BI24" s="128">
        <f t="shared" si="36"/>
        <v>-5.4472622932402556E-2</v>
      </c>
      <c r="BJ24" s="66" t="str">
        <f t="shared" si="17"/>
        <v>no</v>
      </c>
      <c r="BK24" s="2"/>
      <c r="BL24" s="71">
        <f t="shared" si="37"/>
        <v>220.97014159210133</v>
      </c>
      <c r="BM24" s="524">
        <f t="shared" si="38"/>
        <v>84.522805439527559</v>
      </c>
      <c r="BN24" s="120"/>
      <c r="BO24" s="577">
        <f t="shared" si="39"/>
        <v>0.34429685678230904</v>
      </c>
      <c r="BP24" s="578">
        <f t="shared" si="40"/>
        <v>2.8564563677190642E-2</v>
      </c>
      <c r="BR24" s="507" t="str">
        <f t="shared" si="41"/>
        <v>NO-OK</v>
      </c>
      <c r="BS24" s="512" t="str">
        <f t="shared" si="42"/>
        <v>NO-OK</v>
      </c>
    </row>
    <row r="25" spans="1:71" ht="16.5" thickBot="1" x14ac:dyDescent="0.3">
      <c r="A25" s="832"/>
      <c r="B25" s="830"/>
      <c r="C25" s="826"/>
      <c r="D25" s="826"/>
      <c r="E25" s="830"/>
      <c r="F25" s="843"/>
      <c r="G25" s="257"/>
      <c r="H25" s="480"/>
      <c r="I25" s="259"/>
      <c r="J25" s="259"/>
      <c r="K25" s="260"/>
      <c r="L25" s="413">
        <f>+IF('Input Page'!$G$68="YES",Handling!L24+15,0)</f>
        <v>285</v>
      </c>
      <c r="M25" s="9">
        <f t="shared" si="0"/>
        <v>72.513765076035654</v>
      </c>
      <c r="N25" s="9">
        <f t="shared" si="1"/>
        <v>111.69336156493455</v>
      </c>
      <c r="O25" s="9">
        <f t="shared" si="2"/>
        <v>82.804480826648373</v>
      </c>
      <c r="P25" s="9">
        <f t="shared" si="3"/>
        <v>54.875194291145817</v>
      </c>
      <c r="Q25" s="10">
        <f t="shared" si="4"/>
        <v>40.682023621413883</v>
      </c>
      <c r="R25" s="11">
        <f t="shared" si="18"/>
        <v>9.4415949795810902E-2</v>
      </c>
      <c r="S25" s="12">
        <f t="shared" si="19"/>
        <v>3.8140000000000001</v>
      </c>
      <c r="T25" s="13">
        <f t="shared" si="20"/>
        <v>3.6251681004083784</v>
      </c>
      <c r="U25" s="14">
        <f t="shared" si="21"/>
        <v>102.31453415883406</v>
      </c>
      <c r="W25" s="549" t="str">
        <f t="shared" si="22"/>
        <v>Max @ Front</v>
      </c>
      <c r="X25" s="76">
        <f t="shared" si="23"/>
        <v>61.743252224031131</v>
      </c>
      <c r="Y25" s="76">
        <f t="shared" si="24"/>
        <v>83.284277928040183</v>
      </c>
      <c r="Z25" s="2"/>
      <c r="AA25" s="89">
        <f t="shared" si="5"/>
        <v>259.63516980852404</v>
      </c>
      <c r="AB25" s="90">
        <f t="shared" si="25"/>
        <v>9.4415949795810902E-2</v>
      </c>
      <c r="AC25" s="91">
        <f t="shared" si="6"/>
        <v>3.8140000000000001</v>
      </c>
      <c r="AD25" s="92">
        <f t="shared" si="7"/>
        <v>3.6251681004083784</v>
      </c>
      <c r="AE25" s="43">
        <f t="shared" si="8"/>
        <v>102.31453415883406</v>
      </c>
      <c r="AF25" s="2"/>
      <c r="AG25" s="89">
        <f t="shared" si="9"/>
        <v>127.55933019147591</v>
      </c>
      <c r="AH25" s="90">
        <f t="shared" si="26"/>
        <v>9.4415949795810902E-2</v>
      </c>
      <c r="AI25" s="91">
        <f t="shared" si="10"/>
        <v>3.8140000000000001</v>
      </c>
      <c r="AJ25" s="92">
        <f t="shared" si="11"/>
        <v>3.6251681004083784</v>
      </c>
      <c r="AK25" s="550">
        <f t="shared" si="12"/>
        <v>50.267355750681809</v>
      </c>
      <c r="AL25" s="42"/>
      <c r="AM25" s="525">
        <f t="shared" si="13"/>
        <v>285</v>
      </c>
      <c r="AN25" s="526"/>
      <c r="AO25" s="54">
        <f t="shared" si="43"/>
        <v>98.1</v>
      </c>
      <c r="AP25" s="75">
        <f t="shared" si="43"/>
        <v>0</v>
      </c>
      <c r="AQ25" s="75">
        <f t="shared" si="43"/>
        <v>0</v>
      </c>
      <c r="AR25" s="53">
        <f t="shared" si="43"/>
        <v>0</v>
      </c>
      <c r="AS25" s="55">
        <f t="shared" si="43"/>
        <v>0</v>
      </c>
      <c r="AT25" s="2"/>
      <c r="AU25" s="51">
        <f t="shared" si="14"/>
        <v>289.09449999999998</v>
      </c>
      <c r="AV25" s="50">
        <f t="shared" si="15"/>
        <v>-7.2957112639638597E-2</v>
      </c>
      <c r="AW25" s="50">
        <f t="shared" si="16"/>
        <v>0.76086280218788771</v>
      </c>
      <c r="AX25" s="69">
        <f t="shared" si="28"/>
        <v>-5.4771945604723973</v>
      </c>
      <c r="AY25" s="73">
        <f t="shared" si="29"/>
        <v>0.76435263068685622</v>
      </c>
      <c r="AZ25" s="527"/>
      <c r="BA25" s="58">
        <f t="shared" si="30"/>
        <v>-0.75381972112277962</v>
      </c>
      <c r="BB25" s="57">
        <f t="shared" si="31"/>
        <v>0.12645462460618967</v>
      </c>
      <c r="BC25" s="53">
        <f t="shared" si="32"/>
        <v>-36.5573364732141</v>
      </c>
      <c r="BD25" s="55">
        <f t="shared" si="33"/>
        <v>-217.92513536812939</v>
      </c>
      <c r="BE25" s="2"/>
      <c r="BF25" s="54">
        <f t="shared" si="34"/>
        <v>-36.5573364732141</v>
      </c>
      <c r="BG25" s="53">
        <f t="shared" si="34"/>
        <v>-217.92513536812939</v>
      </c>
      <c r="BH25" s="57">
        <f t="shared" si="35"/>
        <v>-0.5628311749472924</v>
      </c>
      <c r="BI25" s="129">
        <f t="shared" si="36"/>
        <v>9.4415949795810902E-2</v>
      </c>
      <c r="BJ25" s="66" t="str">
        <f t="shared" si="17"/>
        <v>no</v>
      </c>
      <c r="BK25" s="2"/>
      <c r="BL25" s="70">
        <f t="shared" si="37"/>
        <v>220.97014159210133</v>
      </c>
      <c r="BM25" s="528">
        <f t="shared" si="38"/>
        <v>-80.477194560472398</v>
      </c>
      <c r="BN25" s="121"/>
      <c r="BO25" s="577">
        <f t="shared" si="39"/>
        <v>0.34110980299835902</v>
      </c>
      <c r="BP25" s="578">
        <f t="shared" si="40"/>
        <v>4.9510199158789146E-2</v>
      </c>
      <c r="BR25" s="507" t="str">
        <f t="shared" si="41"/>
        <v>NO-OK</v>
      </c>
      <c r="BS25" s="512" t="str">
        <f t="shared" si="42"/>
        <v>NO-OK</v>
      </c>
    </row>
    <row r="26" spans="1:71" ht="16.5" thickBot="1" x14ac:dyDescent="0.3">
      <c r="A26" s="261" t="s">
        <v>94</v>
      </c>
      <c r="B26" s="262">
        <f>+SUM(B4:B8)+B19</f>
        <v>377.19449999999995</v>
      </c>
      <c r="C26" s="263"/>
      <c r="D26" s="264"/>
      <c r="E26" s="264"/>
      <c r="F26" s="264"/>
      <c r="G26" s="840" t="s">
        <v>1</v>
      </c>
      <c r="H26" s="841"/>
      <c r="I26" s="914">
        <f>+'Input Page'!C68</f>
        <v>3.8140000000000001</v>
      </c>
      <c r="J26" s="915"/>
      <c r="K26" s="260"/>
      <c r="L26" s="413">
        <f>+IF('Input Page'!$G$68="YES",Handling!L25+15,0)</f>
        <v>300</v>
      </c>
      <c r="M26" s="9">
        <f t="shared" si="0"/>
        <v>72.513765076035654</v>
      </c>
      <c r="N26" s="9">
        <f t="shared" si="1"/>
        <v>130.85604135855792</v>
      </c>
      <c r="O26" s="9">
        <f t="shared" si="2"/>
        <v>59.80827046871066</v>
      </c>
      <c r="P26" s="9">
        <f t="shared" si="3"/>
        <v>68.213499257954851</v>
      </c>
      <c r="Q26" s="10">
        <f t="shared" si="4"/>
        <v>31.177249218919194</v>
      </c>
      <c r="R26" s="11">
        <f t="shared" si="18"/>
        <v>0.23687023157517367</v>
      </c>
      <c r="S26" s="12">
        <f t="shared" si="19"/>
        <v>3.8140000000000001</v>
      </c>
      <c r="T26" s="13">
        <f t="shared" si="20"/>
        <v>3.3402595368496528</v>
      </c>
      <c r="U26" s="14">
        <f t="shared" si="21"/>
        <v>108.85287165365764</v>
      </c>
      <c r="W26" s="549" t="str">
        <f t="shared" si="22"/>
        <v>Max @ Front</v>
      </c>
      <c r="X26" s="76">
        <f t="shared" si="23"/>
        <v>45.49275984381493</v>
      </c>
      <c r="Y26" s="76">
        <f t="shared" si="24"/>
        <v>99.534770308256384</v>
      </c>
      <c r="Z26" s="2"/>
      <c r="AA26" s="89">
        <f t="shared" si="5"/>
        <v>254.51778985822079</v>
      </c>
      <c r="AB26" s="90">
        <f t="shared" si="25"/>
        <v>0.23687023157517367</v>
      </c>
      <c r="AC26" s="91">
        <f t="shared" si="6"/>
        <v>3.8140000000000001</v>
      </c>
      <c r="AD26" s="92">
        <f t="shared" si="7"/>
        <v>3.3402595368496528</v>
      </c>
      <c r="AE26" s="43">
        <f t="shared" si="8"/>
        <v>108.85287165365764</v>
      </c>
      <c r="AF26" s="2"/>
      <c r="AG26" s="89">
        <f t="shared" si="9"/>
        <v>132.67671014177915</v>
      </c>
      <c r="AH26" s="90">
        <f t="shared" si="26"/>
        <v>0.23687023157517367</v>
      </c>
      <c r="AI26" s="91">
        <f t="shared" si="10"/>
        <v>3.8140000000000001</v>
      </c>
      <c r="AJ26" s="92">
        <f t="shared" si="11"/>
        <v>3.3402595368496528</v>
      </c>
      <c r="AK26" s="550">
        <f t="shared" si="12"/>
        <v>56.743542007565281</v>
      </c>
      <c r="AL26" s="42"/>
      <c r="AM26" s="525">
        <f t="shared" si="13"/>
        <v>300</v>
      </c>
      <c r="AN26" s="526"/>
      <c r="AO26" s="54">
        <f t="shared" si="43"/>
        <v>98.1</v>
      </c>
      <c r="AP26" s="75">
        <f t="shared" si="43"/>
        <v>0</v>
      </c>
      <c r="AQ26" s="75">
        <f t="shared" si="43"/>
        <v>0</v>
      </c>
      <c r="AR26" s="53">
        <f t="shared" si="43"/>
        <v>0</v>
      </c>
      <c r="AS26" s="55">
        <f t="shared" si="43"/>
        <v>0</v>
      </c>
      <c r="AT26" s="2"/>
      <c r="AU26" s="51">
        <f t="shared" si="14"/>
        <v>289.09449999999998</v>
      </c>
      <c r="AV26" s="50">
        <f t="shared" si="15"/>
        <v>-7.2957112639638597E-2</v>
      </c>
      <c r="AW26" s="50">
        <f t="shared" si="16"/>
        <v>0.76086280218788771</v>
      </c>
      <c r="AX26" s="69">
        <f t="shared" si="28"/>
        <v>-5.4771945604723973</v>
      </c>
      <c r="AY26" s="73">
        <f t="shared" si="29"/>
        <v>0.76435263068685622</v>
      </c>
      <c r="AZ26" s="527"/>
      <c r="BA26" s="58">
        <f t="shared" si="30"/>
        <v>-0.69540507180914435</v>
      </c>
      <c r="BB26" s="57">
        <f t="shared" si="31"/>
        <v>0.31724868816125379</v>
      </c>
      <c r="BC26" s="53">
        <f t="shared" si="32"/>
        <v>-91.714850879633573</v>
      </c>
      <c r="BD26" s="55">
        <f t="shared" si="33"/>
        <v>-201.03778153212866</v>
      </c>
      <c r="BE26" s="2"/>
      <c r="BF26" s="54">
        <f t="shared" si="34"/>
        <v>-91.714850879633573</v>
      </c>
      <c r="BG26" s="53">
        <f t="shared" si="34"/>
        <v>-201.03778153212866</v>
      </c>
      <c r="BH26" s="57">
        <f t="shared" si="35"/>
        <v>-0.51921652175361144</v>
      </c>
      <c r="BI26" s="129">
        <f t="shared" si="36"/>
        <v>0.23687023157517367</v>
      </c>
      <c r="BJ26" s="66" t="str">
        <f t="shared" si="17"/>
        <v>no</v>
      </c>
      <c r="BK26" s="2"/>
      <c r="BL26" s="70">
        <f t="shared" si="37"/>
        <v>220.97014159210133</v>
      </c>
      <c r="BM26" s="528">
        <f t="shared" si="38"/>
        <v>-65.477194560472412</v>
      </c>
      <c r="BN26" s="121"/>
      <c r="BO26" s="577">
        <f t="shared" si="39"/>
        <v>0.3146766798506736</v>
      </c>
      <c r="BP26" s="578">
        <f t="shared" si="40"/>
        <v>0.12421092374156983</v>
      </c>
      <c r="BR26" s="507" t="str">
        <f t="shared" si="41"/>
        <v>NO-OK</v>
      </c>
      <c r="BS26" s="512" t="str">
        <f t="shared" si="42"/>
        <v>NO-OK</v>
      </c>
    </row>
    <row r="27" spans="1:71" ht="15.75" x14ac:dyDescent="0.25">
      <c r="A27" s="821" t="s">
        <v>110</v>
      </c>
      <c r="B27" s="823">
        <f>+B16+B24</f>
        <v>387.19449999999995</v>
      </c>
      <c r="C27" s="825">
        <f>+F27/B27</f>
        <v>-5.4472622932402195E-2</v>
      </c>
      <c r="D27" s="827">
        <f>+E27/B27*-1</f>
        <v>0.56808981369080991</v>
      </c>
      <c r="E27" s="829">
        <f>+E16+E24</f>
        <v>-219.96125136710629</v>
      </c>
      <c r="F27" s="819">
        <f>+F16+F24</f>
        <v>-21.0915</v>
      </c>
      <c r="G27" s="856" t="s">
        <v>2</v>
      </c>
      <c r="H27" s="857"/>
      <c r="I27" s="852">
        <f>+'Input Page'!C69</f>
        <v>0.7</v>
      </c>
      <c r="J27" s="853"/>
      <c r="K27" s="260"/>
      <c r="L27" s="413">
        <f>+IF('Input Page'!$G$68="YES",Handling!L26+15,0)</f>
        <v>315</v>
      </c>
      <c r="M27" s="9">
        <f t="shared" si="0"/>
        <v>72.513765076035654</v>
      </c>
      <c r="N27" s="9">
        <f t="shared" si="1"/>
        <v>144.34390878718702</v>
      </c>
      <c r="O27" s="9">
        <f t="shared" si="2"/>
        <v>39.376801222950064</v>
      </c>
      <c r="P27" s="9">
        <f t="shared" si="3"/>
        <v>83.543742885251376</v>
      </c>
      <c r="Q27" s="10">
        <f t="shared" si="4"/>
        <v>22.790607408754106</v>
      </c>
      <c r="R27" s="11">
        <f t="shared" si="18"/>
        <v>0.36318219851925432</v>
      </c>
      <c r="S27" s="12">
        <f t="shared" si="19"/>
        <v>3.8140000000000001</v>
      </c>
      <c r="T27" s="13">
        <f t="shared" si="20"/>
        <v>3.0876356029614915</v>
      </c>
      <c r="U27" s="14">
        <f t="shared" si="21"/>
        <v>113.47044763096062</v>
      </c>
      <c r="W27" s="549" t="str">
        <f t="shared" si="22"/>
        <v>Max @ Front</v>
      </c>
      <c r="X27" s="76">
        <f t="shared" si="23"/>
        <v>31.083704315852088</v>
      </c>
      <c r="Y27" s="76">
        <f t="shared" si="24"/>
        <v>113.9438258362192</v>
      </c>
      <c r="Z27" s="2"/>
      <c r="AA27" s="89">
        <f t="shared" si="5"/>
        <v>245.24877579253203</v>
      </c>
      <c r="AB27" s="90">
        <f t="shared" si="25"/>
        <v>0.36318219851925432</v>
      </c>
      <c r="AC27" s="91">
        <f t="shared" si="6"/>
        <v>3.8140000000000001</v>
      </c>
      <c r="AD27" s="92">
        <f t="shared" si="7"/>
        <v>3.0876356029614915</v>
      </c>
      <c r="AE27" s="43">
        <f t="shared" si="8"/>
        <v>113.47044763096062</v>
      </c>
      <c r="AF27" s="2"/>
      <c r="AG27" s="89">
        <f t="shared" si="9"/>
        <v>141.94572420746792</v>
      </c>
      <c r="AH27" s="90">
        <f t="shared" si="26"/>
        <v>0.36318219851925432</v>
      </c>
      <c r="AI27" s="91">
        <f t="shared" si="10"/>
        <v>3.8140000000000001</v>
      </c>
      <c r="AJ27" s="92">
        <f t="shared" si="11"/>
        <v>3.0876356029614915</v>
      </c>
      <c r="AK27" s="550">
        <f t="shared" si="12"/>
        <v>65.674720752725264</v>
      </c>
      <c r="AL27" s="42"/>
      <c r="AM27" s="525">
        <f t="shared" si="13"/>
        <v>315</v>
      </c>
      <c r="AN27" s="526"/>
      <c r="AO27" s="54">
        <f t="shared" si="43"/>
        <v>98.1</v>
      </c>
      <c r="AP27" s="75">
        <f t="shared" si="43"/>
        <v>0</v>
      </c>
      <c r="AQ27" s="75">
        <f t="shared" si="43"/>
        <v>0</v>
      </c>
      <c r="AR27" s="53">
        <f t="shared" si="43"/>
        <v>0</v>
      </c>
      <c r="AS27" s="55">
        <f t="shared" si="43"/>
        <v>0</v>
      </c>
      <c r="AT27" s="2"/>
      <c r="AU27" s="51">
        <f t="shared" si="14"/>
        <v>289.09449999999998</v>
      </c>
      <c r="AV27" s="50">
        <f t="shared" si="15"/>
        <v>-7.2957112639638597E-2</v>
      </c>
      <c r="AW27" s="50">
        <f t="shared" si="16"/>
        <v>0.76086280218788771</v>
      </c>
      <c r="AX27" s="69">
        <f t="shared" si="28"/>
        <v>-5.4771945604723973</v>
      </c>
      <c r="AY27" s="73">
        <f t="shared" si="29"/>
        <v>0.76435263068685622</v>
      </c>
      <c r="AZ27" s="527"/>
      <c r="BA27" s="58">
        <f t="shared" si="30"/>
        <v>-0.58959971606293371</v>
      </c>
      <c r="BB27" s="57">
        <f t="shared" si="31"/>
        <v>0.48642277789637445</v>
      </c>
      <c r="BC27" s="53">
        <f t="shared" si="32"/>
        <v>-140.6221497645634</v>
      </c>
      <c r="BD27" s="55">
        <f t="shared" si="33"/>
        <v>-170.45003511535577</v>
      </c>
      <c r="BE27" s="2"/>
      <c r="BF27" s="54">
        <f t="shared" si="34"/>
        <v>-140.6221497645634</v>
      </c>
      <c r="BG27" s="53">
        <f t="shared" si="34"/>
        <v>-170.45003511535577</v>
      </c>
      <c r="BH27" s="57">
        <f t="shared" si="35"/>
        <v>-0.4402181206482938</v>
      </c>
      <c r="BI27" s="129">
        <f t="shared" si="36"/>
        <v>0.36318219851925432</v>
      </c>
      <c r="BJ27" s="66" t="str">
        <f t="shared" si="17"/>
        <v>no</v>
      </c>
      <c r="BK27" s="2"/>
      <c r="BL27" s="70">
        <f t="shared" si="37"/>
        <v>220.97014159210136</v>
      </c>
      <c r="BM27" s="528">
        <f t="shared" si="38"/>
        <v>-50.477194560472441</v>
      </c>
      <c r="BN27" s="121"/>
      <c r="BO27" s="577">
        <f t="shared" si="39"/>
        <v>0.26679886099896594</v>
      </c>
      <c r="BP27" s="578">
        <f t="shared" si="40"/>
        <v>0.19044687913961947</v>
      </c>
      <c r="BR27" s="507" t="str">
        <f t="shared" si="41"/>
        <v>NO-OK</v>
      </c>
      <c r="BS27" s="512" t="str">
        <f t="shared" si="42"/>
        <v>NO-OK</v>
      </c>
    </row>
    <row r="28" spans="1:71" ht="16.5" thickBot="1" x14ac:dyDescent="0.3">
      <c r="A28" s="822"/>
      <c r="B28" s="824"/>
      <c r="C28" s="826"/>
      <c r="D28" s="828"/>
      <c r="E28" s="830"/>
      <c r="F28" s="820"/>
      <c r="G28" s="919" t="s">
        <v>95</v>
      </c>
      <c r="H28" s="920"/>
      <c r="I28" s="854">
        <f>+'Input Page'!C70</f>
        <v>3.3</v>
      </c>
      <c r="J28" s="855"/>
      <c r="K28" s="154"/>
      <c r="L28" s="413">
        <f>+IF('Input Page'!$G$68="YES",Handling!L27+15,0)</f>
        <v>330</v>
      </c>
      <c r="M28" s="9">
        <f t="shared" si="0"/>
        <v>72.513765076035654</v>
      </c>
      <c r="N28" s="9">
        <f t="shared" si="1"/>
        <v>150.72817338073978</v>
      </c>
      <c r="O28" s="9">
        <f t="shared" si="2"/>
        <v>23.412058548441774</v>
      </c>
      <c r="P28" s="9">
        <f t="shared" si="3"/>
        <v>100.33080899883666</v>
      </c>
      <c r="Q28" s="10">
        <f t="shared" si="4"/>
        <v>15.584019376124438</v>
      </c>
      <c r="R28" s="11">
        <f t="shared" si="18"/>
        <v>0.46474389882120909</v>
      </c>
      <c r="S28" s="12">
        <f t="shared" si="19"/>
        <v>3.8140000000000001</v>
      </c>
      <c r="T28" s="13">
        <f t="shared" si="20"/>
        <v>2.8845122023575818</v>
      </c>
      <c r="U28" s="14">
        <f t="shared" si="21"/>
        <v>115.12706447125713</v>
      </c>
      <c r="W28" s="549" t="str">
        <f t="shared" si="22"/>
        <v>Max @ Front</v>
      </c>
      <c r="X28" s="76">
        <f t="shared" si="23"/>
        <v>19.498038962283104</v>
      </c>
      <c r="Y28" s="76">
        <f t="shared" si="24"/>
        <v>125.52949118978822</v>
      </c>
      <c r="Z28" s="2"/>
      <c r="AA28" s="89">
        <f t="shared" si="5"/>
        <v>232.45979560226439</v>
      </c>
      <c r="AB28" s="90">
        <f t="shared" si="25"/>
        <v>0.46474389882120909</v>
      </c>
      <c r="AC28" s="91">
        <f t="shared" si="6"/>
        <v>3.8140000000000001</v>
      </c>
      <c r="AD28" s="92">
        <f t="shared" si="7"/>
        <v>2.8845122023575818</v>
      </c>
      <c r="AE28" s="43">
        <f t="shared" si="8"/>
        <v>115.12706447125713</v>
      </c>
      <c r="AF28" s="2"/>
      <c r="AG28" s="89">
        <f t="shared" si="9"/>
        <v>154.73470439773556</v>
      </c>
      <c r="AH28" s="90">
        <f t="shared" si="26"/>
        <v>0.46474389882120909</v>
      </c>
      <c r="AI28" s="91">
        <f t="shared" si="10"/>
        <v>3.8140000000000001</v>
      </c>
      <c r="AJ28" s="92">
        <f t="shared" si="11"/>
        <v>2.8845122023575818</v>
      </c>
      <c r="AK28" s="550">
        <f t="shared" si="12"/>
        <v>76.633261433382614</v>
      </c>
      <c r="AL28" s="42"/>
      <c r="AM28" s="525">
        <f t="shared" si="13"/>
        <v>330</v>
      </c>
      <c r="AN28" s="526"/>
      <c r="AO28" s="54">
        <f t="shared" si="43"/>
        <v>98.1</v>
      </c>
      <c r="AP28" s="75">
        <f t="shared" si="43"/>
        <v>0</v>
      </c>
      <c r="AQ28" s="75">
        <f t="shared" si="43"/>
        <v>0</v>
      </c>
      <c r="AR28" s="53">
        <f t="shared" si="43"/>
        <v>0</v>
      </c>
      <c r="AS28" s="55">
        <f t="shared" si="43"/>
        <v>0</v>
      </c>
      <c r="AT28" s="2"/>
      <c r="AU28" s="51">
        <f t="shared" si="14"/>
        <v>289.09449999999998</v>
      </c>
      <c r="AV28" s="50">
        <f t="shared" si="15"/>
        <v>-7.2957112639638597E-2</v>
      </c>
      <c r="AW28" s="50">
        <f t="shared" si="16"/>
        <v>0.76086280218788771</v>
      </c>
      <c r="AX28" s="69">
        <f t="shared" si="28"/>
        <v>-5.4771945604723973</v>
      </c>
      <c r="AY28" s="73">
        <f t="shared" si="29"/>
        <v>0.76435263068685622</v>
      </c>
      <c r="AZ28" s="527"/>
      <c r="BA28" s="58">
        <f t="shared" si="30"/>
        <v>-0.4436141140266337</v>
      </c>
      <c r="BB28" s="57">
        <f t="shared" si="31"/>
        <v>0.62244795916950557</v>
      </c>
      <c r="BC28" s="53">
        <f t="shared" si="32"/>
        <v>-179.94628153212861</v>
      </c>
      <c r="BD28" s="55">
        <f t="shared" si="33"/>
        <v>-128.24640048747264</v>
      </c>
      <c r="BE28" s="2"/>
      <c r="BF28" s="54">
        <f t="shared" si="34"/>
        <v>-179.94628153212861</v>
      </c>
      <c r="BG28" s="53">
        <f t="shared" si="34"/>
        <v>-128.24640048747264</v>
      </c>
      <c r="BH28" s="57">
        <f t="shared" si="35"/>
        <v>-0.33121958211563607</v>
      </c>
      <c r="BI28" s="129">
        <f t="shared" si="36"/>
        <v>0.46474389882120909</v>
      </c>
      <c r="BJ28" s="66" t="str">
        <f t="shared" si="17"/>
        <v>no</v>
      </c>
      <c r="BK28" s="2"/>
      <c r="BL28" s="70">
        <f t="shared" si="37"/>
        <v>220.97014159210133</v>
      </c>
      <c r="BM28" s="528">
        <f t="shared" si="38"/>
        <v>-35.477194560472398</v>
      </c>
      <c r="BN28" s="121"/>
      <c r="BO28" s="577">
        <f t="shared" si="39"/>
        <v>0.2007391406761431</v>
      </c>
      <c r="BP28" s="578">
        <f t="shared" si="40"/>
        <v>0.2437041944526529</v>
      </c>
      <c r="BR28" s="507" t="str">
        <f t="shared" si="41"/>
        <v>NO-OK</v>
      </c>
      <c r="BS28" s="512" t="str">
        <f t="shared" si="42"/>
        <v>NO-OK</v>
      </c>
    </row>
    <row r="29" spans="1:71" ht="15.75" customHeight="1" thickBot="1" x14ac:dyDescent="0.3">
      <c r="A29" s="265"/>
      <c r="B29" s="266"/>
      <c r="C29" s="267"/>
      <c r="D29" s="268"/>
      <c r="E29" s="269"/>
      <c r="F29" s="266"/>
      <c r="G29" s="182"/>
      <c r="H29" s="270"/>
      <c r="I29" s="271"/>
      <c r="J29" s="271"/>
      <c r="K29" s="272"/>
      <c r="L29" s="413">
        <f>+IF('Input Page'!$G$68="YES",Handling!L28+15,0)</f>
        <v>345</v>
      </c>
      <c r="M29" s="134">
        <f t="shared" si="0"/>
        <v>72.513765076035654</v>
      </c>
      <c r="N29" s="134">
        <f t="shared" si="1"/>
        <v>149.6559085166607</v>
      </c>
      <c r="O29" s="134">
        <f t="shared" si="2"/>
        <v>12.919862816469671</v>
      </c>
      <c r="P29" s="134">
        <f t="shared" si="3"/>
        <v>117.34853632600885</v>
      </c>
      <c r="Q29" s="135">
        <f t="shared" si="4"/>
        <v>10.130752645003367</v>
      </c>
      <c r="R29" s="136">
        <f t="shared" si="18"/>
        <v>0.53463407044410438</v>
      </c>
      <c r="S29" s="137">
        <f t="shared" si="19"/>
        <v>3.8140000000000001</v>
      </c>
      <c r="T29" s="132">
        <f t="shared" si="20"/>
        <v>2.7447318591117913</v>
      </c>
      <c r="U29" s="133">
        <f t="shared" si="21"/>
        <v>112.95529466860472</v>
      </c>
      <c r="W29" s="549" t="str">
        <f t="shared" si="22"/>
        <v>Max @ Front</v>
      </c>
      <c r="X29" s="76">
        <f t="shared" si="23"/>
        <v>11.52530773073652</v>
      </c>
      <c r="Y29" s="76">
        <f t="shared" si="24"/>
        <v>133.50222242133478</v>
      </c>
      <c r="Z29" s="2"/>
      <c r="AA29" s="89">
        <f t="shared" si="5"/>
        <v>217.02239715259572</v>
      </c>
      <c r="AB29" s="90">
        <f t="shared" si="25"/>
        <v>0.53463407044410438</v>
      </c>
      <c r="AC29" s="91">
        <f t="shared" si="6"/>
        <v>3.8140000000000001</v>
      </c>
      <c r="AD29" s="92">
        <f t="shared" si="7"/>
        <v>2.7447318591117913</v>
      </c>
      <c r="AE29" s="43">
        <f t="shared" si="8"/>
        <v>112.95529466860472</v>
      </c>
      <c r="AF29" s="2"/>
      <c r="AG29" s="89">
        <f t="shared" si="9"/>
        <v>170.17210284740423</v>
      </c>
      <c r="AH29" s="90">
        <f t="shared" si="26"/>
        <v>0.53463407044410438</v>
      </c>
      <c r="AI29" s="91">
        <f t="shared" si="10"/>
        <v>3.8140000000000001</v>
      </c>
      <c r="AJ29" s="92">
        <f t="shared" si="11"/>
        <v>2.7447318591117913</v>
      </c>
      <c r="AK29" s="550">
        <f t="shared" si="12"/>
        <v>88.570766306618239</v>
      </c>
      <c r="AL29" s="42"/>
      <c r="AM29" s="525">
        <f t="shared" si="13"/>
        <v>345</v>
      </c>
      <c r="AN29" s="526"/>
      <c r="AO29" s="54">
        <f t="shared" si="43"/>
        <v>98.1</v>
      </c>
      <c r="AP29" s="75">
        <f t="shared" si="43"/>
        <v>0</v>
      </c>
      <c r="AQ29" s="75">
        <f t="shared" si="43"/>
        <v>0</v>
      </c>
      <c r="AR29" s="53">
        <f t="shared" si="43"/>
        <v>0</v>
      </c>
      <c r="AS29" s="55">
        <f t="shared" si="43"/>
        <v>0</v>
      </c>
      <c r="AT29" s="2"/>
      <c r="AU29" s="51">
        <f t="shared" si="14"/>
        <v>289.09449999999998</v>
      </c>
      <c r="AV29" s="50">
        <f t="shared" si="15"/>
        <v>-7.2957112639638597E-2</v>
      </c>
      <c r="AW29" s="50">
        <f t="shared" si="16"/>
        <v>0.76086280218788771</v>
      </c>
      <c r="AX29" s="69">
        <f t="shared" si="28"/>
        <v>-5.4771945604723973</v>
      </c>
      <c r="AY29" s="73">
        <f t="shared" si="29"/>
        <v>0.76435263068685622</v>
      </c>
      <c r="AZ29" s="527"/>
      <c r="BA29" s="58">
        <f t="shared" si="30"/>
        <v>-0.26739694322640506</v>
      </c>
      <c r="BB29" s="57">
        <f t="shared" si="31"/>
        <v>0.71605434066912288</v>
      </c>
      <c r="BC29" s="53">
        <f t="shared" si="32"/>
        <v>-207.00737158856973</v>
      </c>
      <c r="BD29" s="55">
        <f t="shared" si="33"/>
        <v>-77.302985603565958</v>
      </c>
      <c r="BE29" s="2"/>
      <c r="BF29" s="54">
        <f t="shared" si="34"/>
        <v>-207.00737158856973</v>
      </c>
      <c r="BG29" s="53">
        <f t="shared" si="34"/>
        <v>-77.302985603565958</v>
      </c>
      <c r="BH29" s="57">
        <f t="shared" si="35"/>
        <v>-0.19964897642803803</v>
      </c>
      <c r="BI29" s="129">
        <f t="shared" si="36"/>
        <v>0.53463407044410438</v>
      </c>
      <c r="BJ29" s="66" t="str">
        <f t="shared" si="17"/>
        <v>no</v>
      </c>
      <c r="BK29" s="2"/>
      <c r="BL29" s="70">
        <f t="shared" si="37"/>
        <v>220.97014159210133</v>
      </c>
      <c r="BM29" s="528">
        <f t="shared" si="38"/>
        <v>-20.477194560472423</v>
      </c>
      <c r="BN29" s="121"/>
      <c r="BO29" s="577">
        <f t="shared" si="39"/>
        <v>0.12099937965335639</v>
      </c>
      <c r="BP29" s="578">
        <f t="shared" si="40"/>
        <v>0.28035347165396141</v>
      </c>
      <c r="BR29" s="507" t="str">
        <f t="shared" si="41"/>
        <v>NO-OK</v>
      </c>
      <c r="BS29" s="512" t="str">
        <f t="shared" si="42"/>
        <v>NO-OK</v>
      </c>
    </row>
    <row r="30" spans="1:71" ht="15.75" customHeight="1" thickBot="1" x14ac:dyDescent="0.25">
      <c r="A30" s="265"/>
      <c r="B30" s="266"/>
      <c r="C30" s="267"/>
      <c r="D30" s="268"/>
      <c r="E30" s="269"/>
      <c r="F30" s="266"/>
      <c r="G30" s="182"/>
      <c r="H30" s="270"/>
      <c r="I30" s="271"/>
      <c r="J30" s="271"/>
      <c r="K30" s="272"/>
      <c r="L30" s="109"/>
      <c r="M30" s="105"/>
      <c r="N30" s="105"/>
      <c r="O30" s="105"/>
      <c r="P30" s="105"/>
      <c r="Q30" s="105"/>
      <c r="R30" s="917" t="s">
        <v>168</v>
      </c>
      <c r="S30" s="918"/>
      <c r="T30" s="150">
        <f>+INDEX(T6:T29,MATCH(U30,U6:U29,0))</f>
        <v>2.8845122023575818</v>
      </c>
      <c r="U30" s="151">
        <f>MAX(U6:U29)</f>
        <v>115.12706447125713</v>
      </c>
      <c r="W30" s="551"/>
      <c r="X30" s="552">
        <f t="shared" si="23"/>
        <v>7.7088390790808772</v>
      </c>
      <c r="Y30" s="552">
        <f t="shared" si="24"/>
        <v>137.31869107299045</v>
      </c>
      <c r="Z30" s="544"/>
      <c r="AA30" s="553">
        <f t="shared" si="5"/>
        <v>199.98861363636365</v>
      </c>
      <c r="AB30" s="554">
        <f t="shared" si="25"/>
        <v>0.56808981369080991</v>
      </c>
      <c r="AC30" s="555" t="e">
        <f t="shared" si="6"/>
        <v>#DIV/0!</v>
      </c>
      <c r="AD30" s="556">
        <f t="shared" si="7"/>
        <v>2.6778203726183802</v>
      </c>
      <c r="AE30" s="557">
        <f t="shared" si="8"/>
        <v>0</v>
      </c>
      <c r="AF30" s="544"/>
      <c r="AG30" s="553">
        <f t="shared" si="9"/>
        <v>187.2058863636363</v>
      </c>
      <c r="AH30" s="554">
        <f t="shared" si="26"/>
        <v>0.56808981369080991</v>
      </c>
      <c r="AI30" s="555" t="e">
        <f t="shared" si="10"/>
        <v>#DIV/0!</v>
      </c>
      <c r="AJ30" s="556">
        <f t="shared" si="11"/>
        <v>2.6778203726183802</v>
      </c>
      <c r="AK30" s="558">
        <f t="shared" si="12"/>
        <v>0</v>
      </c>
      <c r="AL30" s="42"/>
      <c r="AM30" s="529">
        <f>+AM29+15</f>
        <v>360</v>
      </c>
      <c r="AN30" s="530"/>
      <c r="AO30" s="531">
        <f t="shared" si="43"/>
        <v>98.1</v>
      </c>
      <c r="AP30" s="532">
        <f t="shared" si="43"/>
        <v>0</v>
      </c>
      <c r="AQ30" s="532">
        <f t="shared" si="43"/>
        <v>0</v>
      </c>
      <c r="AR30" s="533">
        <f t="shared" si="43"/>
        <v>0</v>
      </c>
      <c r="AS30" s="534">
        <f t="shared" si="43"/>
        <v>0</v>
      </c>
      <c r="AT30" s="535"/>
      <c r="AU30" s="536">
        <f t="shared" si="14"/>
        <v>289.09449999999998</v>
      </c>
      <c r="AV30" s="537">
        <f t="shared" si="15"/>
        <v>-7.2957112639638597E-2</v>
      </c>
      <c r="AW30" s="537">
        <f t="shared" si="16"/>
        <v>0.76086280218788771</v>
      </c>
      <c r="AX30" s="538">
        <f t="shared" si="28"/>
        <v>-5.4771945604723973</v>
      </c>
      <c r="AY30" s="539">
        <f t="shared" si="29"/>
        <v>0.76435263068685622</v>
      </c>
      <c r="AZ30" s="540"/>
      <c r="BA30" s="541">
        <f t="shared" si="30"/>
        <v>-7.2957112639639124E-2</v>
      </c>
      <c r="BB30" s="542">
        <f t="shared" si="31"/>
        <v>0.7608628021878876</v>
      </c>
      <c r="BC30" s="533">
        <f t="shared" si="32"/>
        <v>-219.96125136710626</v>
      </c>
      <c r="BD30" s="534">
        <f t="shared" si="33"/>
        <v>-21.091500000000153</v>
      </c>
      <c r="BE30" s="535"/>
      <c r="BF30" s="531">
        <f t="shared" si="34"/>
        <v>-219.96125136710626</v>
      </c>
      <c r="BG30" s="533">
        <f t="shared" si="34"/>
        <v>-21.091500000000153</v>
      </c>
      <c r="BH30" s="542">
        <f t="shared" si="35"/>
        <v>-5.4472622932402591E-2</v>
      </c>
      <c r="BI30" s="543">
        <f t="shared" si="36"/>
        <v>0.56808981369080991</v>
      </c>
      <c r="BJ30" s="542" t="str">
        <f t="shared" si="17"/>
        <v>no</v>
      </c>
      <c r="BK30" s="544"/>
      <c r="BL30" s="545">
        <f t="shared" si="37"/>
        <v>220.97014159210133</v>
      </c>
      <c r="BM30" s="546">
        <f t="shared" si="38"/>
        <v>-5.4771945604724372</v>
      </c>
      <c r="BN30" s="120"/>
      <c r="BO30" s="577">
        <f t="shared" si="39"/>
        <v>3.3013710868122784E-2</v>
      </c>
      <c r="BP30" s="578">
        <f t="shared" si="40"/>
        <v>0.2978971230680702</v>
      </c>
      <c r="BR30" s="513" t="str">
        <f t="shared" si="41"/>
        <v>NO-OK</v>
      </c>
      <c r="BS30" s="514" t="str">
        <f t="shared" si="42"/>
        <v>NO-OK</v>
      </c>
    </row>
    <row r="31" spans="1:71" ht="15.75" customHeight="1" thickBot="1" x14ac:dyDescent="0.3">
      <c r="A31" s="273"/>
      <c r="B31" s="274"/>
      <c r="C31" s="274"/>
      <c r="D31" s="275"/>
      <c r="E31" s="155"/>
      <c r="F31" s="155"/>
      <c r="G31" s="155"/>
      <c r="H31" s="155"/>
      <c r="I31" s="154"/>
      <c r="J31" s="154"/>
      <c r="K31" s="154"/>
      <c r="L31" s="110"/>
      <c r="M31" s="96"/>
      <c r="N31" s="96"/>
      <c r="O31" s="96"/>
      <c r="P31" s="96"/>
      <c r="Q31" s="96"/>
      <c r="R31" s="144"/>
      <c r="S31" s="148" t="s">
        <v>167</v>
      </c>
      <c r="T31" s="149"/>
      <c r="U31" s="152"/>
      <c r="AB31" s="2"/>
      <c r="AC31" s="2"/>
      <c r="AD31" s="2"/>
      <c r="AE31" s="2"/>
      <c r="AF31" s="2"/>
      <c r="AG31" s="2"/>
      <c r="AH31" s="2"/>
      <c r="AI31" s="2"/>
      <c r="AJ31" s="2"/>
      <c r="AK31" s="2"/>
      <c r="AL31" s="113"/>
      <c r="AM31" s="2"/>
      <c r="BF31" s="124" t="s">
        <v>178</v>
      </c>
      <c r="BG31" s="515" t="s">
        <v>178</v>
      </c>
      <c r="BH31" s="515" t="s">
        <v>178</v>
      </c>
      <c r="BI31" s="125" t="s">
        <v>178</v>
      </c>
      <c r="BO31" s="575" t="s">
        <v>178</v>
      </c>
      <c r="BP31" s="576" t="s">
        <v>178</v>
      </c>
    </row>
    <row r="32" spans="1:71" ht="15.75" customHeight="1" thickBot="1" x14ac:dyDescent="0.3">
      <c r="A32" s="844" t="s">
        <v>216</v>
      </c>
      <c r="B32" s="845"/>
      <c r="C32" s="845" t="s">
        <v>36</v>
      </c>
      <c r="D32" s="947"/>
      <c r="E32" s="948" t="s">
        <v>36</v>
      </c>
      <c r="F32" s="949"/>
      <c r="G32" s="949"/>
      <c r="H32" s="949"/>
      <c r="I32" s="949"/>
      <c r="J32" s="950"/>
      <c r="K32" s="154"/>
      <c r="L32" s="106" t="s">
        <v>161</v>
      </c>
      <c r="M32" s="99"/>
      <c r="N32" s="99"/>
      <c r="O32" s="99"/>
      <c r="P32" s="99"/>
      <c r="Q32" s="99"/>
      <c r="R32" s="131"/>
      <c r="S32" s="145">
        <f>+INDEX(J12:J15,MATCH(U32,I12:I15,0))</f>
        <v>1.5</v>
      </c>
      <c r="T32" s="146">
        <f>+S32/$I$27</f>
        <v>2.1428571428571428</v>
      </c>
      <c r="U32" s="147">
        <f>+I16</f>
        <v>0</v>
      </c>
      <c r="X32" s="946" t="s">
        <v>185</v>
      </c>
      <c r="Y32" s="946"/>
      <c r="Z32" s="419"/>
      <c r="AA32" s="962" t="s">
        <v>90</v>
      </c>
      <c r="AB32" s="962" t="s">
        <v>89</v>
      </c>
      <c r="AC32" s="962" t="s">
        <v>158</v>
      </c>
      <c r="AD32" s="963" t="s">
        <v>29</v>
      </c>
      <c r="AE32" s="424" t="s">
        <v>190</v>
      </c>
      <c r="AF32" s="2"/>
      <c r="AG32" s="2"/>
      <c r="AI32" s="2"/>
      <c r="AJ32" s="2"/>
      <c r="AK32" s="2"/>
      <c r="AL32" s="113"/>
      <c r="BF32" s="70">
        <f>+MAX(BF6:BF30)</f>
        <v>219.96125136710629</v>
      </c>
      <c r="BG32" s="504">
        <f t="shared" ref="BG32:BI32" si="51">+MAX(BG6:BG30)</f>
        <v>219.96125136710629</v>
      </c>
      <c r="BH32" s="505">
        <f t="shared" si="51"/>
        <v>0.56808981369080991</v>
      </c>
      <c r="BI32" s="506">
        <f t="shared" si="51"/>
        <v>0.56808981369080991</v>
      </c>
      <c r="BO32" s="577">
        <f>+MAX(BO6:BO30)</f>
        <v>0.34429685678230904</v>
      </c>
      <c r="BP32" s="578">
        <f>+MAX(BP6:BP30)</f>
        <v>0.2978971230680702</v>
      </c>
    </row>
    <row r="33" spans="1:68" ht="15.75" customHeight="1" thickBot="1" x14ac:dyDescent="0.3">
      <c r="A33" s="951" t="str">
        <f>IF(G11&gt;H11,"ERROR - AUXILIARY LINE FORCE EXCEEDS MAXIMUM","AuxiIiary Line Force OK")</f>
        <v>AuxiIiary Line Force OK</v>
      </c>
      <c r="B33" s="952"/>
      <c r="C33" s="952"/>
      <c r="D33" s="952"/>
      <c r="E33" s="940"/>
      <c r="F33" s="940"/>
      <c r="G33" s="940"/>
      <c r="H33" s="940"/>
      <c r="I33" s="940"/>
      <c r="J33" s="941"/>
      <c r="K33" s="154"/>
      <c r="L33" s="138" t="s">
        <v>162</v>
      </c>
      <c r="M33" s="139"/>
      <c r="N33" s="139"/>
      <c r="O33" s="139"/>
      <c r="P33" s="139"/>
      <c r="Q33" s="139"/>
      <c r="R33" s="140"/>
      <c r="S33" s="139">
        <f>+INDEX(J20:J23,MATCH(U33,I20:I23,0))</f>
        <v>0</v>
      </c>
      <c r="T33" s="141">
        <f>+S33/$I$27</f>
        <v>0</v>
      </c>
      <c r="U33" s="16">
        <f>+I24</f>
        <v>-9.9999999999999992E-25</v>
      </c>
      <c r="X33" s="946"/>
      <c r="Y33" s="946"/>
      <c r="Z33" s="419"/>
      <c r="AA33" s="962"/>
      <c r="AB33" s="962"/>
      <c r="AC33" s="962"/>
      <c r="AD33" s="963"/>
      <c r="AE33" s="425" t="s">
        <v>187</v>
      </c>
      <c r="AF33" s="2"/>
      <c r="AG33" s="2"/>
      <c r="AI33" s="2"/>
      <c r="AJ33" s="2"/>
      <c r="AK33" s="2"/>
      <c r="AL33" s="113"/>
      <c r="AO33" s="419" t="s">
        <v>209</v>
      </c>
      <c r="AP33" s="419"/>
      <c r="AQ33" s="419"/>
      <c r="AR33" s="419"/>
      <c r="AS33" s="419"/>
      <c r="BF33" s="507" t="s">
        <v>165</v>
      </c>
      <c r="BG33" s="569" t="s">
        <v>165</v>
      </c>
      <c r="BH33" s="505" t="s">
        <v>165</v>
      </c>
      <c r="BI33" s="506" t="s">
        <v>165</v>
      </c>
      <c r="BO33" s="507" t="s">
        <v>165</v>
      </c>
      <c r="BP33" s="512" t="s">
        <v>165</v>
      </c>
    </row>
    <row r="34" spans="1:68" ht="15.75" customHeight="1" thickBot="1" x14ac:dyDescent="0.3">
      <c r="A34" s="938" t="str">
        <f>IF(G9&gt;H9,"ERROR - EXTRACTION FORCE EXCEEDS MAXIMUM","Extraction Force OK")</f>
        <v>Extraction Force OK</v>
      </c>
      <c r="B34" s="939"/>
      <c r="C34" s="939"/>
      <c r="D34" s="939"/>
      <c r="E34" s="942"/>
      <c r="F34" s="942"/>
      <c r="G34" s="942"/>
      <c r="H34" s="942"/>
      <c r="I34" s="942"/>
      <c r="J34" s="943"/>
      <c r="K34" s="154"/>
      <c r="L34" s="17"/>
      <c r="M34" s="18"/>
      <c r="N34" s="18"/>
      <c r="O34" s="18"/>
      <c r="P34" s="957" t="s">
        <v>30</v>
      </c>
      <c r="Q34" s="958"/>
      <c r="R34" s="958"/>
      <c r="S34" s="958"/>
      <c r="T34" s="142">
        <f>+INDEX(T30:T33,MATCH(U34,U30:U33,0))</f>
        <v>2.8845122023575818</v>
      </c>
      <c r="U34" s="143">
        <f>+MAX(U30:U33)</f>
        <v>115.12706447125713</v>
      </c>
      <c r="X34" s="946"/>
      <c r="Y34" s="946"/>
      <c r="Z34" s="419"/>
      <c r="AA34" s="962"/>
      <c r="AB34" s="962"/>
      <c r="AC34" s="962"/>
      <c r="AD34" s="963"/>
      <c r="AE34" s="423" t="s">
        <v>188</v>
      </c>
      <c r="AF34" s="2"/>
      <c r="AG34" s="2"/>
      <c r="AH34" s="2"/>
      <c r="AI34" s="2"/>
      <c r="AJ34" s="2"/>
      <c r="AK34" s="2"/>
      <c r="AL34" s="113"/>
      <c r="AO34" s="503" t="s">
        <v>114</v>
      </c>
      <c r="AP34" s="503"/>
      <c r="AQ34" s="503"/>
      <c r="AR34" s="503" t="s">
        <v>117</v>
      </c>
      <c r="AS34" s="477"/>
      <c r="BF34" s="508">
        <f>+MIN(BF6:BF30)</f>
        <v>-219.96125136710629</v>
      </c>
      <c r="BG34" s="509">
        <f t="shared" ref="BG34:BI34" si="52">+MIN(BG6:BG30)</f>
        <v>-219.96125136710626</v>
      </c>
      <c r="BH34" s="510">
        <f t="shared" si="52"/>
        <v>-0.56808981369080991</v>
      </c>
      <c r="BI34" s="511">
        <f t="shared" si="52"/>
        <v>-0.56808981369080991</v>
      </c>
      <c r="BO34" s="122">
        <f>+MIN(BO6:BO30)</f>
        <v>3.3013710868122437E-2</v>
      </c>
      <c r="BP34" s="123">
        <f>+MIN(BP6:BP30)</f>
        <v>2.8564563677190475E-2</v>
      </c>
    </row>
    <row r="35" spans="1:68" ht="15.75" customHeight="1" x14ac:dyDescent="0.25">
      <c r="A35" s="938" t="str">
        <f>IF(G10&lt;H10,"ERROR - PENETRATION FORCE EXCEEDS MAXIMUM",IF(G10&gt;0,"ERROR - PENETRATION FORCE MUST BE -ve","Penetration Force OK"))</f>
        <v>Penetration Force OK</v>
      </c>
      <c r="B35" s="939"/>
      <c r="C35" s="939"/>
      <c r="D35" s="939"/>
      <c r="E35" s="942"/>
      <c r="F35" s="942"/>
      <c r="G35" s="942"/>
      <c r="H35" s="942"/>
      <c r="I35" s="942"/>
      <c r="J35" s="943"/>
      <c r="K35" s="154"/>
      <c r="L35" s="97"/>
      <c r="M35" s="98"/>
      <c r="N35" s="98"/>
      <c r="O35" s="98"/>
      <c r="P35" s="100"/>
      <c r="Q35" s="101"/>
      <c r="R35" s="101"/>
      <c r="S35" s="101"/>
      <c r="T35" s="100"/>
      <c r="U35" s="102"/>
      <c r="X35" s="419" t="s">
        <v>179</v>
      </c>
      <c r="Y35" s="419"/>
      <c r="Z35" s="419"/>
      <c r="AA35" s="419"/>
      <c r="AB35" s="419"/>
      <c r="AC35" s="419"/>
      <c r="AD35" s="419"/>
      <c r="AE35" s="423"/>
      <c r="AF35" s="2"/>
      <c r="AG35" s="2"/>
      <c r="AJ35" s="2"/>
      <c r="AK35" s="2"/>
      <c r="AL35" s="113"/>
      <c r="AO35" s="503" t="s">
        <v>115</v>
      </c>
      <c r="AP35" s="503" t="s">
        <v>116</v>
      </c>
      <c r="AQ35" s="503"/>
      <c r="AR35" s="503" t="s">
        <v>115</v>
      </c>
      <c r="AS35" s="503" t="s">
        <v>116</v>
      </c>
    </row>
    <row r="36" spans="1:68" ht="15.75" customHeight="1" x14ac:dyDescent="0.25">
      <c r="A36" s="938" t="str">
        <f>+IF(AE40=0,"Slewing Footpad Forces OK","ERROR - With Slewing Footpad Forces")</f>
        <v>Slewing Footpad Forces OK</v>
      </c>
      <c r="B36" s="939"/>
      <c r="C36" s="939"/>
      <c r="D36" s="939"/>
      <c r="E36" s="942"/>
      <c r="F36" s="942"/>
      <c r="G36" s="942"/>
      <c r="H36" s="942"/>
      <c r="I36" s="942"/>
      <c r="J36" s="943"/>
      <c r="K36" s="154"/>
      <c r="L36" s="97" t="s">
        <v>232</v>
      </c>
      <c r="M36" s="98"/>
      <c r="N36" s="15"/>
      <c r="O36" s="15"/>
      <c r="Q36" s="126">
        <f>+BO32</f>
        <v>0.34429685678230904</v>
      </c>
      <c r="R36" s="101"/>
      <c r="S36" s="101"/>
      <c r="T36" s="100"/>
      <c r="U36" s="102"/>
      <c r="X36" s="916" t="s">
        <v>74</v>
      </c>
      <c r="Y36" s="916"/>
      <c r="Z36" s="419"/>
      <c r="AA36" s="420">
        <f>+G12</f>
        <v>0</v>
      </c>
      <c r="AB36" s="420">
        <f t="shared" ref="AB36:AD39" si="53">+H12</f>
        <v>-450</v>
      </c>
      <c r="AC36" s="420">
        <f t="shared" si="53"/>
        <v>0</v>
      </c>
      <c r="AD36" s="420">
        <f t="shared" si="53"/>
        <v>1.5</v>
      </c>
      <c r="AE36" s="419">
        <f>+IF(AA36&gt;0,1,IF(AA36&lt;AB36,1,0))</f>
        <v>0</v>
      </c>
      <c r="AO36" s="503">
        <f>+-1*(I28+I27)/2</f>
        <v>-2</v>
      </c>
      <c r="AP36" s="503">
        <f>+I26/2</f>
        <v>1.907</v>
      </c>
      <c r="AQ36" s="503"/>
      <c r="AR36" s="503">
        <f>+AO36*-1</f>
        <v>2</v>
      </c>
      <c r="AS36" s="503">
        <f>+AP36</f>
        <v>1.907</v>
      </c>
    </row>
    <row r="37" spans="1:68" ht="15.75" customHeight="1" thickBot="1" x14ac:dyDescent="0.3">
      <c r="A37" s="938" t="str">
        <f>+IF(AE41=0,"Non-Slewing Footpad Forces OK","ERROR - With Non-Slewing Footpad Forces")</f>
        <v>Non-Slewing Footpad Forces OK</v>
      </c>
      <c r="B37" s="939"/>
      <c r="C37" s="939"/>
      <c r="D37" s="939"/>
      <c r="E37" s="944"/>
      <c r="F37" s="944"/>
      <c r="G37" s="944"/>
      <c r="H37" s="944"/>
      <c r="I37" s="944"/>
      <c r="J37" s="945"/>
      <c r="K37" s="154"/>
      <c r="L37" s="97" t="s">
        <v>231</v>
      </c>
      <c r="M37" s="98"/>
      <c r="N37" s="118"/>
      <c r="O37" s="103"/>
      <c r="Q37" s="126">
        <f>+BP32</f>
        <v>0.2978971230680702</v>
      </c>
      <c r="R37" s="101"/>
      <c r="S37" s="101"/>
      <c r="T37" s="100"/>
      <c r="U37" s="102"/>
      <c r="X37" s="916" t="s">
        <v>75</v>
      </c>
      <c r="Y37" s="916"/>
      <c r="Z37" s="419"/>
      <c r="AA37" s="420">
        <f t="shared" ref="AA37:AA38" si="54">+G13</f>
        <v>0</v>
      </c>
      <c r="AB37" s="420">
        <f t="shared" si="53"/>
        <v>0</v>
      </c>
      <c r="AC37" s="420">
        <f t="shared" si="53"/>
        <v>-9.9999999999999992E-25</v>
      </c>
      <c r="AD37" s="420">
        <f t="shared" si="53"/>
        <v>0</v>
      </c>
      <c r="AE37" s="419">
        <f t="shared" ref="AE37:AE45" si="55">+IF(AA37&gt;0,1,IF(AA37&lt;AB37,1,0))</f>
        <v>0</v>
      </c>
      <c r="AO37" s="503">
        <f>+-1*(I28/2-I27/2)</f>
        <v>-1.2999999999999998</v>
      </c>
      <c r="AP37" s="503">
        <f>+I26/2</f>
        <v>1.907</v>
      </c>
      <c r="AQ37" s="503"/>
      <c r="AR37" s="503">
        <f t="shared" ref="AR37" si="56">+AO37*-1</f>
        <v>1.2999999999999998</v>
      </c>
      <c r="AS37" s="503">
        <f t="shared" ref="AS37" si="57">+AP37</f>
        <v>1.907</v>
      </c>
    </row>
    <row r="38" spans="1:68" ht="15.75" customHeight="1" x14ac:dyDescent="0.25">
      <c r="A38" s="158"/>
      <c r="B38" s="154"/>
      <c r="C38" s="154"/>
      <c r="D38" s="155"/>
      <c r="E38" s="155"/>
      <c r="F38" s="155"/>
      <c r="G38" s="155"/>
      <c r="H38" s="155"/>
      <c r="I38" s="154"/>
      <c r="J38" s="154"/>
      <c r="K38" s="154"/>
      <c r="L38" s="97" t="s">
        <v>166</v>
      </c>
      <c r="M38" s="98"/>
      <c r="N38" s="118"/>
      <c r="P38" s="100"/>
      <c r="Q38" s="103" t="str">
        <f>+IF(MIN(O6:O29)&lt;=0,"Track(s) lifting",IF(MIN(Q6:Q29)&lt;=0,"Track(s) lifting","None"))</f>
        <v>None</v>
      </c>
      <c r="R38" s="101"/>
      <c r="S38" s="101"/>
      <c r="T38" s="100"/>
      <c r="U38" s="102"/>
      <c r="X38" s="916" t="s">
        <v>77</v>
      </c>
      <c r="Y38" s="916"/>
      <c r="Z38" s="419"/>
      <c r="AA38" s="420">
        <f t="shared" si="54"/>
        <v>0</v>
      </c>
      <c r="AB38" s="420">
        <f t="shared" si="53"/>
        <v>0</v>
      </c>
      <c r="AC38" s="420">
        <f t="shared" si="53"/>
        <v>-9.9999999999999992E-25</v>
      </c>
      <c r="AD38" s="420">
        <f t="shared" si="53"/>
        <v>0</v>
      </c>
      <c r="AE38" s="419">
        <f t="shared" si="55"/>
        <v>0</v>
      </c>
      <c r="AO38" s="503">
        <f>+AO37</f>
        <v>-1.2999999999999998</v>
      </c>
      <c r="AP38" s="503">
        <f>+-1*AP37</f>
        <v>-1.907</v>
      </c>
      <c r="AQ38" s="503"/>
      <c r="AR38" s="503">
        <f>+AO38*-1</f>
        <v>1.2999999999999998</v>
      </c>
      <c r="AS38" s="503">
        <f>+AP38</f>
        <v>-1.907</v>
      </c>
    </row>
    <row r="39" spans="1:68" ht="15.75" customHeight="1" x14ac:dyDescent="0.25">
      <c r="A39" s="158"/>
      <c r="B39" s="154"/>
      <c r="C39" s="154"/>
      <c r="D39" s="155"/>
      <c r="E39" s="155"/>
      <c r="F39" s="155"/>
      <c r="G39" s="155"/>
      <c r="H39" s="155"/>
      <c r="I39" s="154"/>
      <c r="J39" s="154"/>
      <c r="K39" s="154"/>
      <c r="L39" s="107" t="s">
        <v>163</v>
      </c>
      <c r="M39" s="103"/>
      <c r="N39" s="15"/>
      <c r="P39" s="103"/>
      <c r="Q39" s="103" t="str">
        <f>IF($I$16=-1E+24,"No Slewing Foot Pads Deployed",IF(U32&gt;MAX(U6:U29),"ERROR - Slewing Foot Pad Pressure Exceeds Track Pressure","Slewing Foot Pad Pressure OK"))</f>
        <v>Slewing Foot Pad Pressure OK</v>
      </c>
      <c r="R39" s="103"/>
      <c r="S39" s="103"/>
      <c r="T39" s="103"/>
      <c r="U39" s="104"/>
      <c r="X39" s="916" t="s">
        <v>78</v>
      </c>
      <c r="Y39" s="916"/>
      <c r="Z39" s="419"/>
      <c r="AA39" s="420">
        <f>+G15</f>
        <v>0</v>
      </c>
      <c r="AB39" s="420">
        <f t="shared" si="53"/>
        <v>0</v>
      </c>
      <c r="AC39" s="420">
        <f t="shared" si="53"/>
        <v>-9.9999999999999992E-25</v>
      </c>
      <c r="AD39" s="420">
        <f>+J15</f>
        <v>0</v>
      </c>
      <c r="AE39" s="419">
        <f t="shared" si="55"/>
        <v>0</v>
      </c>
      <c r="AO39" s="503">
        <f>+AO36</f>
        <v>-2</v>
      </c>
      <c r="AP39" s="503">
        <f>+-1*AP36</f>
        <v>-1.907</v>
      </c>
      <c r="AQ39" s="503"/>
      <c r="AR39" s="503">
        <f>+AO39*-1</f>
        <v>2</v>
      </c>
      <c r="AS39" s="503">
        <f>+AP39</f>
        <v>-1.907</v>
      </c>
    </row>
    <row r="40" spans="1:68" ht="15.75" customHeight="1" thickBot="1" x14ac:dyDescent="0.3">
      <c r="A40" s="158"/>
      <c r="B40" s="154"/>
      <c r="C40" s="154"/>
      <c r="D40" s="155"/>
      <c r="E40" s="155"/>
      <c r="F40" s="155"/>
      <c r="G40" s="155"/>
      <c r="H40" s="155"/>
      <c r="I40" s="154"/>
      <c r="J40" s="154"/>
      <c r="K40" s="154"/>
      <c r="L40" s="107" t="s">
        <v>164</v>
      </c>
      <c r="M40" s="103"/>
      <c r="N40" s="15"/>
      <c r="P40" s="103"/>
      <c r="Q40" s="103" t="str">
        <f>IF($I$24=-1E+24,"No Non-Slewing Foot Pads Deployed",IF(U33&gt;MAX(U6:U29),"ERROR - Non-Slewing Foot Pad Pressure Exceeds Track Pressure","Non-Slewing Foot Pad Pressure OK"))</f>
        <v>Non-Slewing Foot Pad Pressure OK</v>
      </c>
      <c r="R40" s="103"/>
      <c r="S40" s="103"/>
      <c r="T40" s="103"/>
      <c r="U40" s="104"/>
      <c r="X40" s="419"/>
      <c r="Y40" s="419"/>
      <c r="Z40" s="419"/>
      <c r="AA40" s="419"/>
      <c r="AB40" s="419"/>
      <c r="AC40" s="419"/>
      <c r="AD40" s="421" t="s">
        <v>189</v>
      </c>
      <c r="AE40" s="422">
        <f>+MAX(AE36:AE39)</f>
        <v>0</v>
      </c>
      <c r="AO40" s="503">
        <f>+AO36</f>
        <v>-2</v>
      </c>
      <c r="AP40" s="503">
        <f>+AP36</f>
        <v>1.907</v>
      </c>
      <c r="AQ40" s="477"/>
      <c r="AR40" s="503">
        <f>+AR36</f>
        <v>2</v>
      </c>
      <c r="AS40" s="503">
        <f>+AS36</f>
        <v>1.907</v>
      </c>
    </row>
    <row r="41" spans="1:68" ht="15.75" customHeight="1" thickBot="1" x14ac:dyDescent="0.3">
      <c r="A41" s="153" t="s">
        <v>44</v>
      </c>
      <c r="B41" s="154"/>
      <c r="C41" s="154"/>
      <c r="D41" s="155"/>
      <c r="E41" s="155"/>
      <c r="F41" s="155"/>
      <c r="G41" s="155"/>
      <c r="H41" s="155"/>
      <c r="I41" s="154"/>
      <c r="J41" s="154"/>
      <c r="K41" s="154"/>
      <c r="L41" s="19"/>
      <c r="M41" s="20"/>
      <c r="N41" s="20"/>
      <c r="O41" s="20"/>
      <c r="P41" s="29"/>
      <c r="Q41" s="953" t="s">
        <v>54</v>
      </c>
      <c r="R41" s="954"/>
      <c r="S41" s="954"/>
      <c r="T41" s="955"/>
      <c r="U41" s="159">
        <v>1</v>
      </c>
      <c r="X41" s="419" t="s">
        <v>186</v>
      </c>
      <c r="Y41" s="419"/>
      <c r="Z41" s="419"/>
      <c r="AA41" s="419"/>
      <c r="AB41" s="419"/>
      <c r="AC41" s="419"/>
      <c r="AD41" s="419"/>
      <c r="AE41" s="419"/>
    </row>
    <row r="42" spans="1:68" ht="15.75" customHeight="1" x14ac:dyDescent="0.2">
      <c r="A42" s="956" t="s">
        <v>170</v>
      </c>
      <c r="B42" s="956"/>
      <c r="C42" s="956"/>
      <c r="D42" s="956"/>
      <c r="E42" s="956"/>
      <c r="F42" s="956"/>
      <c r="G42" s="956"/>
      <c r="H42" s="956"/>
      <c r="I42" s="956"/>
      <c r="J42" s="956"/>
      <c r="K42" s="956"/>
      <c r="R42" s="23"/>
      <c r="S42" s="22"/>
      <c r="T42" s="22"/>
      <c r="X42" s="916" t="s">
        <v>74</v>
      </c>
      <c r="Y42" s="916"/>
      <c r="Z42" s="419"/>
      <c r="AA42" s="420">
        <f>+G20</f>
        <v>0</v>
      </c>
      <c r="AB42" s="420">
        <f t="shared" ref="AB42:AD45" si="58">+H20</f>
        <v>0</v>
      </c>
      <c r="AC42" s="420">
        <f t="shared" si="58"/>
        <v>-9.9999999999999992E-25</v>
      </c>
      <c r="AD42" s="420">
        <f t="shared" si="58"/>
        <v>0</v>
      </c>
      <c r="AE42" s="419">
        <f t="shared" si="55"/>
        <v>0</v>
      </c>
    </row>
    <row r="43" spans="1:68" ht="15.75" customHeight="1" x14ac:dyDescent="0.2">
      <c r="A43" s="478" t="s">
        <v>169</v>
      </c>
      <c r="B43" s="154"/>
      <c r="C43" s="154"/>
      <c r="D43" s="154"/>
      <c r="E43" s="155"/>
      <c r="F43" s="155"/>
      <c r="G43" s="155"/>
      <c r="H43" s="155"/>
      <c r="I43" s="154"/>
      <c r="J43" s="154"/>
      <c r="K43" s="154"/>
      <c r="X43" s="916" t="s">
        <v>75</v>
      </c>
      <c r="Y43" s="916"/>
      <c r="Z43" s="419"/>
      <c r="AA43" s="420">
        <f t="shared" ref="AA43:AA45" si="59">+G21</f>
        <v>0</v>
      </c>
      <c r="AB43" s="420">
        <f t="shared" si="58"/>
        <v>0</v>
      </c>
      <c r="AC43" s="420">
        <f t="shared" si="58"/>
        <v>-9.9999999999999992E-25</v>
      </c>
      <c r="AD43" s="420">
        <f t="shared" si="58"/>
        <v>0</v>
      </c>
      <c r="AE43" s="419">
        <f t="shared" si="55"/>
        <v>0</v>
      </c>
    </row>
    <row r="44" spans="1:68" ht="15.75" customHeight="1" x14ac:dyDescent="0.2">
      <c r="A44" s="478" t="s">
        <v>171</v>
      </c>
      <c r="B44" s="154"/>
      <c r="C44" s="154"/>
      <c r="D44" s="154"/>
      <c r="E44" s="155"/>
      <c r="F44" s="155"/>
      <c r="G44" s="155"/>
      <c r="H44" s="155"/>
      <c r="I44" s="154"/>
      <c r="J44" s="154"/>
      <c r="K44" s="154"/>
      <c r="X44" s="916" t="s">
        <v>77</v>
      </c>
      <c r="Y44" s="916"/>
      <c r="Z44" s="419"/>
      <c r="AA44" s="420">
        <f t="shared" si="59"/>
        <v>0</v>
      </c>
      <c r="AB44" s="420">
        <f t="shared" si="58"/>
        <v>0</v>
      </c>
      <c r="AC44" s="420">
        <f t="shared" si="58"/>
        <v>-9.9999999999999992E-25</v>
      </c>
      <c r="AD44" s="420">
        <f t="shared" si="58"/>
        <v>0</v>
      </c>
      <c r="AE44" s="419">
        <f t="shared" si="55"/>
        <v>0</v>
      </c>
    </row>
    <row r="45" spans="1:68" ht="15.75" customHeight="1" x14ac:dyDescent="0.2">
      <c r="A45" s="478" t="s">
        <v>172</v>
      </c>
      <c r="B45" s="154"/>
      <c r="C45" s="154"/>
      <c r="D45" s="154"/>
      <c r="E45" s="155"/>
      <c r="F45" s="155"/>
      <c r="G45" s="155"/>
      <c r="H45" s="155"/>
      <c r="I45" s="154"/>
      <c r="J45" s="154"/>
      <c r="K45" s="154"/>
      <c r="X45" s="916" t="s">
        <v>78</v>
      </c>
      <c r="Y45" s="916"/>
      <c r="Z45" s="419"/>
      <c r="AA45" s="420">
        <f t="shared" si="59"/>
        <v>0</v>
      </c>
      <c r="AB45" s="420">
        <f t="shared" si="58"/>
        <v>0</v>
      </c>
      <c r="AC45" s="420">
        <f t="shared" si="58"/>
        <v>-9.9999999999999992E-25</v>
      </c>
      <c r="AD45" s="420">
        <f>+J23</f>
        <v>0</v>
      </c>
      <c r="AE45" s="419">
        <f t="shared" si="55"/>
        <v>0</v>
      </c>
    </row>
    <row r="46" spans="1:68" ht="15.75" customHeight="1" x14ac:dyDescent="0.2">
      <c r="A46" s="478" t="s">
        <v>173</v>
      </c>
      <c r="B46" s="154"/>
      <c r="C46" s="154"/>
      <c r="D46" s="154"/>
      <c r="E46" s="155"/>
      <c r="F46" s="155"/>
      <c r="G46" s="155"/>
      <c r="H46" s="155"/>
      <c r="I46" s="154"/>
      <c r="J46" s="154"/>
      <c r="K46" s="154"/>
      <c r="AD46" s="421" t="s">
        <v>189</v>
      </c>
      <c r="AE46" s="422">
        <f>+MAX(AE42:AE45)</f>
        <v>0</v>
      </c>
    </row>
    <row r="47" spans="1:68" ht="15.75" customHeight="1" x14ac:dyDescent="0.25">
      <c r="A47" s="478"/>
      <c r="B47" s="154"/>
      <c r="C47" s="154"/>
      <c r="D47" s="155"/>
      <c r="E47" s="155"/>
      <c r="F47" s="155"/>
      <c r="G47" s="157"/>
      <c r="H47" s="155"/>
      <c r="I47" s="154"/>
      <c r="J47" s="154"/>
      <c r="K47" s="154"/>
      <c r="R47" s="23"/>
    </row>
    <row r="48" spans="1:68" ht="15.75" customHeight="1" x14ac:dyDescent="0.2">
      <c r="A48" s="478" t="s">
        <v>49</v>
      </c>
      <c r="B48" s="154"/>
      <c r="C48" s="154"/>
      <c r="D48" s="155"/>
      <c r="E48" s="155"/>
      <c r="F48" s="155"/>
      <c r="G48" s="155"/>
      <c r="H48" s="155"/>
      <c r="I48" s="154"/>
      <c r="J48" s="154"/>
      <c r="K48" s="154"/>
      <c r="R48" s="23"/>
    </row>
    <row r="49" spans="1:17" ht="15.75" customHeight="1" x14ac:dyDescent="0.2">
      <c r="A49" s="478" t="s">
        <v>48</v>
      </c>
      <c r="B49" s="154"/>
      <c r="C49" s="154"/>
      <c r="D49" s="155"/>
      <c r="E49" s="155"/>
      <c r="F49" s="155"/>
      <c r="G49" s="155"/>
      <c r="H49" s="155"/>
      <c r="I49" s="154"/>
      <c r="J49" s="154"/>
      <c r="K49" s="154"/>
      <c r="M49" s="1"/>
      <c r="N49" s="1"/>
      <c r="O49" s="1"/>
      <c r="P49" s="1"/>
      <c r="Q49" s="1"/>
    </row>
    <row r="50" spans="1:17" ht="15.75" customHeight="1" x14ac:dyDescent="0.2">
      <c r="A50" s="154" t="s">
        <v>45</v>
      </c>
      <c r="B50" s="154"/>
      <c r="C50" s="154"/>
      <c r="D50" s="155"/>
      <c r="E50" s="155"/>
      <c r="F50" s="155"/>
      <c r="G50" s="155"/>
      <c r="H50" s="155"/>
      <c r="I50" s="154"/>
      <c r="J50" s="154"/>
      <c r="K50" s="154"/>
      <c r="L50" s="24"/>
    </row>
    <row r="51" spans="1:17" ht="15.75" customHeight="1" x14ac:dyDescent="0.2">
      <c r="A51" s="154" t="s">
        <v>46</v>
      </c>
      <c r="B51" s="154"/>
      <c r="C51" s="154"/>
      <c r="D51" s="155"/>
      <c r="E51" s="155"/>
      <c r="F51" s="155"/>
      <c r="G51" s="155"/>
      <c r="H51" s="155"/>
      <c r="I51" s="154"/>
      <c r="J51" s="154"/>
      <c r="K51" s="154"/>
    </row>
    <row r="52" spans="1:17" ht="15.75" customHeight="1" x14ac:dyDescent="0.2">
      <c r="A52" s="158"/>
      <c r="B52" s="154"/>
      <c r="C52" s="154"/>
      <c r="D52" s="155"/>
      <c r="E52" s="155"/>
      <c r="F52" s="155"/>
      <c r="G52" s="155"/>
      <c r="H52" s="155"/>
      <c r="I52" s="154"/>
      <c r="J52" s="154"/>
      <c r="K52" s="154"/>
    </row>
    <row r="53" spans="1:17" ht="15.75" customHeight="1" x14ac:dyDescent="0.25">
      <c r="A53" s="276" t="s">
        <v>47</v>
      </c>
      <c r="B53" s="154"/>
      <c r="C53" s="155"/>
      <c r="D53" s="155"/>
      <c r="E53" s="155"/>
      <c r="F53" s="276" t="s">
        <v>64</v>
      </c>
      <c r="G53" s="155"/>
      <c r="H53" s="155"/>
      <c r="I53" s="154"/>
      <c r="J53" s="154"/>
      <c r="K53" s="154"/>
    </row>
    <row r="54" spans="1:17" ht="15.75" customHeight="1" x14ac:dyDescent="0.2">
      <c r="A54" s="1"/>
      <c r="D54" s="1"/>
      <c r="E54" s="1"/>
      <c r="F54" s="1"/>
      <c r="G54" s="1"/>
      <c r="K54" s="24"/>
    </row>
    <row r="55" spans="1:17" ht="15.75" customHeight="1" x14ac:dyDescent="0.2">
      <c r="G55" s="1"/>
    </row>
    <row r="56" spans="1:17" x14ac:dyDescent="0.2">
      <c r="G56" s="1"/>
    </row>
    <row r="57" spans="1:17" x14ac:dyDescent="0.2">
      <c r="G57" s="1"/>
    </row>
    <row r="58" spans="1:17" ht="15" x14ac:dyDescent="0.2">
      <c r="G58" s="1"/>
      <c r="L58" s="24"/>
    </row>
    <row r="59" spans="1:17" ht="15" x14ac:dyDescent="0.2">
      <c r="G59" s="1"/>
      <c r="L59" s="24"/>
    </row>
    <row r="60" spans="1:17" ht="15" x14ac:dyDescent="0.2">
      <c r="L60" s="24"/>
    </row>
    <row r="61" spans="1:17" ht="15" x14ac:dyDescent="0.2">
      <c r="L61" s="24"/>
    </row>
  </sheetData>
  <sheetProtection sheet="1" objects="1" scenarios="1"/>
  <mergeCells count="123">
    <mergeCell ref="X44:Y44"/>
    <mergeCell ref="X45:Y45"/>
    <mergeCell ref="X38:Y38"/>
    <mergeCell ref="X39:Y39"/>
    <mergeCell ref="Q41:T41"/>
    <mergeCell ref="A42:K42"/>
    <mergeCell ref="X42:Y42"/>
    <mergeCell ref="X43:Y43"/>
    <mergeCell ref="A35:D35"/>
    <mergeCell ref="E35:J35"/>
    <mergeCell ref="A36:D36"/>
    <mergeCell ref="E36:J36"/>
    <mergeCell ref="X36:Y36"/>
    <mergeCell ref="A37:D37"/>
    <mergeCell ref="E37:J37"/>
    <mergeCell ref="X37:Y37"/>
    <mergeCell ref="X32:Y34"/>
    <mergeCell ref="AA32:AA34"/>
    <mergeCell ref="AB32:AB34"/>
    <mergeCell ref="AC32:AC34"/>
    <mergeCell ref="AD32:AD34"/>
    <mergeCell ref="A33:D33"/>
    <mergeCell ref="E33:J33"/>
    <mergeCell ref="A34:D34"/>
    <mergeCell ref="E34:J34"/>
    <mergeCell ref="P34:S34"/>
    <mergeCell ref="R30:S30"/>
    <mergeCell ref="A32:D32"/>
    <mergeCell ref="E32:J32"/>
    <mergeCell ref="G24:H24"/>
    <mergeCell ref="G26:H26"/>
    <mergeCell ref="I26:J26"/>
    <mergeCell ref="A27:A28"/>
    <mergeCell ref="B27:B28"/>
    <mergeCell ref="C27:C28"/>
    <mergeCell ref="D27:D28"/>
    <mergeCell ref="E27:E28"/>
    <mergeCell ref="F27:F28"/>
    <mergeCell ref="G27:H27"/>
    <mergeCell ref="A24:A25"/>
    <mergeCell ref="B24:B25"/>
    <mergeCell ref="C24:C25"/>
    <mergeCell ref="D24:D25"/>
    <mergeCell ref="E24:E25"/>
    <mergeCell ref="F24:F25"/>
    <mergeCell ref="A18:F18"/>
    <mergeCell ref="G18:G19"/>
    <mergeCell ref="H18:H19"/>
    <mergeCell ref="I18:I19"/>
    <mergeCell ref="J18:J19"/>
    <mergeCell ref="AV4:AV5"/>
    <mergeCell ref="I27:J27"/>
    <mergeCell ref="G28:H28"/>
    <mergeCell ref="I28:J28"/>
    <mergeCell ref="G6:G7"/>
    <mergeCell ref="H6:H7"/>
    <mergeCell ref="O2:O5"/>
    <mergeCell ref="I10:I11"/>
    <mergeCell ref="J10:J11"/>
    <mergeCell ref="G16:H16"/>
    <mergeCell ref="A3:F3"/>
    <mergeCell ref="T3:U3"/>
    <mergeCell ref="AO3:AO5"/>
    <mergeCell ref="AP3:AP5"/>
    <mergeCell ref="AQ3:AQ5"/>
    <mergeCell ref="AM2:AM5"/>
    <mergeCell ref="AO2:AS2"/>
    <mergeCell ref="X2:X5"/>
    <mergeCell ref="Y2:Y5"/>
    <mergeCell ref="B1:B2"/>
    <mergeCell ref="C1:C2"/>
    <mergeCell ref="D1:D2"/>
    <mergeCell ref="E1:E2"/>
    <mergeCell ref="F1:F2"/>
    <mergeCell ref="L1:O1"/>
    <mergeCell ref="L2:L5"/>
    <mergeCell ref="M2:M5"/>
    <mergeCell ref="N2:N5"/>
    <mergeCell ref="BR2:BS2"/>
    <mergeCell ref="AS3:AS5"/>
    <mergeCell ref="AU3:AU5"/>
    <mergeCell ref="AV3:AW3"/>
    <mergeCell ref="AX3:AX5"/>
    <mergeCell ref="AE2:AE3"/>
    <mergeCell ref="AG2:AG3"/>
    <mergeCell ref="AH2:AH3"/>
    <mergeCell ref="AI2:AI3"/>
    <mergeCell ref="AJ2:AJ3"/>
    <mergeCell ref="AK2:AK3"/>
    <mergeCell ref="BO3:BO5"/>
    <mergeCell ref="BP3:BP5"/>
    <mergeCell ref="BR3:BS4"/>
    <mergeCell ref="AY3:AY5"/>
    <mergeCell ref="BA3:BA5"/>
    <mergeCell ref="BB3:BB5"/>
    <mergeCell ref="BC3:BC5"/>
    <mergeCell ref="BD3:BD5"/>
    <mergeCell ref="BF3:BF5"/>
    <mergeCell ref="AW4:AW5"/>
    <mergeCell ref="BH4:BH5"/>
    <mergeCell ref="BI4:BI5"/>
    <mergeCell ref="BJ4:BJ5"/>
    <mergeCell ref="AG1:AK1"/>
    <mergeCell ref="AM1:BM1"/>
    <mergeCell ref="P2:P5"/>
    <mergeCell ref="Q2:Q5"/>
    <mergeCell ref="R2:S2"/>
    <mergeCell ref="W2:W5"/>
    <mergeCell ref="BA2:BD2"/>
    <mergeCell ref="BF2:BI2"/>
    <mergeCell ref="BG3:BG5"/>
    <mergeCell ref="BL3:BL5"/>
    <mergeCell ref="BM3:BM5"/>
    <mergeCell ref="AR3:AR5"/>
    <mergeCell ref="AU2:AY2"/>
    <mergeCell ref="AA2:AA3"/>
    <mergeCell ref="AB2:AB3"/>
    <mergeCell ref="AC2:AC3"/>
    <mergeCell ref="AD2:AD3"/>
    <mergeCell ref="P1:S1"/>
    <mergeCell ref="T1:U2"/>
    <mergeCell ref="W1:Y1"/>
    <mergeCell ref="AA1:AE1"/>
  </mergeCells>
  <conditionalFormatting sqref="G25">
    <cfRule type="cellIs" dxfId="43" priority="13" operator="greaterThan">
      <formula>H25</formula>
    </cfRule>
  </conditionalFormatting>
  <conditionalFormatting sqref="G9">
    <cfRule type="cellIs" dxfId="42" priority="12" operator="greaterThan">
      <formula>$H$9</formula>
    </cfRule>
  </conditionalFormatting>
  <conditionalFormatting sqref="G11">
    <cfRule type="cellIs" dxfId="41" priority="11" operator="greaterThan">
      <formula>$H$11</formula>
    </cfRule>
  </conditionalFormatting>
  <conditionalFormatting sqref="G10">
    <cfRule type="cellIs" dxfId="40" priority="3" operator="greaterThan">
      <formula>0</formula>
    </cfRule>
    <cfRule type="cellIs" dxfId="39" priority="10" operator="lessThan">
      <formula>$H$10</formula>
    </cfRule>
  </conditionalFormatting>
  <conditionalFormatting sqref="W6:W29">
    <cfRule type="containsText" dxfId="38" priority="9" operator="containsText" text="Front">
      <formula>NOT(ISERROR(SEARCH("Front",W6)))</formula>
    </cfRule>
  </conditionalFormatting>
  <conditionalFormatting sqref="W6:W29">
    <cfRule type="containsText" dxfId="37" priority="8" operator="containsText" text="Rear">
      <formula>NOT(ISERROR(SEARCH("Rear",W6)))</formula>
    </cfRule>
  </conditionalFormatting>
  <conditionalFormatting sqref="G12:G15">
    <cfRule type="cellIs" dxfId="36" priority="6" operator="greaterThan">
      <formula>0</formula>
    </cfRule>
    <cfRule type="cellIs" dxfId="35" priority="7" operator="lessThan">
      <formula>$H12</formula>
    </cfRule>
  </conditionalFormatting>
  <conditionalFormatting sqref="G20:G23">
    <cfRule type="cellIs" dxfId="34" priority="4" operator="greaterThan">
      <formula>0</formula>
    </cfRule>
    <cfRule type="cellIs" dxfId="33" priority="5" operator="lessThan">
      <formula>$H20</formula>
    </cfRule>
  </conditionalFormatting>
  <dataValidations count="1">
    <dataValidation type="list" allowBlank="1" showInputMessage="1" showErrorMessage="1" sqref="U41">
      <formula1>"0,1,2"</formula1>
    </dataValidation>
  </dataValidations>
  <pageMargins left="0.7" right="0.7" top="0.75" bottom="0.75" header="0.3" footer="0.3"/>
  <pageSetup paperSize="9" scale="5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zoomScale="75" zoomScaleNormal="75" workbookViewId="0">
      <selection activeCell="O5" sqref="O5"/>
    </sheetView>
  </sheetViews>
  <sheetFormatPr defaultRowHeight="12.75" x14ac:dyDescent="0.2"/>
  <cols>
    <col min="1" max="1" width="23.375" style="21" customWidth="1"/>
    <col min="2" max="3" width="10.625" style="1" customWidth="1"/>
    <col min="4" max="8" width="10.625" style="22" customWidth="1"/>
    <col min="9" max="10" width="10.625" style="1" customWidth="1"/>
    <col min="11" max="11" width="29.75" style="1" customWidth="1"/>
    <col min="12" max="12" width="11" style="1" customWidth="1"/>
    <col min="13" max="13" width="9.125" style="22" hidden="1" customWidth="1"/>
    <col min="14" max="17" width="9.125" style="22" customWidth="1"/>
    <col min="18" max="19" width="9" style="1"/>
    <col min="20" max="20" width="9.375" style="1" bestFit="1" customWidth="1"/>
    <col min="21" max="25" width="9" style="1"/>
    <col min="26" max="26" width="3.5" style="1" customWidth="1"/>
    <col min="27" max="31" width="9.125" style="1" customWidth="1"/>
    <col min="32" max="32" width="3.5" style="1" customWidth="1"/>
    <col min="33" max="37" width="9.125" style="1" customWidth="1"/>
    <col min="38" max="38" width="2.875" style="114" customWidth="1"/>
    <col min="39" max="39" width="9" style="1"/>
    <col min="40" max="40" width="3.25" style="1" customWidth="1"/>
    <col min="41" max="45" width="9" style="1"/>
    <col min="46" max="46" width="3.25" style="1" customWidth="1"/>
    <col min="47" max="51" width="9" style="1"/>
    <col min="52" max="52" width="3.25" style="1" customWidth="1"/>
    <col min="53" max="53" width="9" style="1"/>
    <col min="54" max="54" width="11" style="1" bestFit="1" customWidth="1"/>
    <col min="55" max="56" width="9" style="1"/>
    <col min="57" max="57" width="3.5" style="1" customWidth="1"/>
    <col min="58" max="59" width="9" style="1"/>
    <col min="60" max="60" width="9.125" style="1" bestFit="1" customWidth="1"/>
    <col min="61" max="61" width="9.75" style="1" bestFit="1" customWidth="1"/>
    <col min="62" max="62" width="9.75" style="1" customWidth="1"/>
    <col min="63" max="63" width="3.5" style="1" customWidth="1"/>
    <col min="64" max="65" width="9" style="1"/>
    <col min="66" max="66" width="3.625" style="1" customWidth="1"/>
    <col min="67" max="67" width="10.875" style="1" customWidth="1"/>
    <col min="68" max="68" width="10.25" style="1" customWidth="1"/>
    <col min="69" max="69" width="3.375" style="1" customWidth="1"/>
    <col min="70" max="71" width="11.25" style="1" customWidth="1"/>
    <col min="72" max="16384" width="9" style="1"/>
  </cols>
  <sheetData>
    <row r="1" spans="1:71" s="479" customFormat="1" ht="74.25" customHeight="1" thickTop="1" thickBot="1" x14ac:dyDescent="0.35">
      <c r="A1" s="30" t="str">
        <f>'Input Page'!C4</f>
        <v>EXAMPLE</v>
      </c>
      <c r="B1" s="835" t="s">
        <v>174</v>
      </c>
      <c r="C1" s="835" t="s">
        <v>67</v>
      </c>
      <c r="D1" s="846" t="s">
        <v>68</v>
      </c>
      <c r="E1" s="815" t="s">
        <v>86</v>
      </c>
      <c r="F1" s="833" t="s">
        <v>87</v>
      </c>
      <c r="G1" s="166"/>
      <c r="H1" s="167"/>
      <c r="I1" s="168"/>
      <c r="J1" s="168"/>
      <c r="K1" s="168"/>
      <c r="L1" s="928" t="s">
        <v>38</v>
      </c>
      <c r="M1" s="929"/>
      <c r="N1" s="929"/>
      <c r="O1" s="929"/>
      <c r="P1" s="923" t="s">
        <v>40</v>
      </c>
      <c r="Q1" s="924"/>
      <c r="R1" s="924"/>
      <c r="S1" s="925"/>
      <c r="T1" s="934" t="s">
        <v>25</v>
      </c>
      <c r="U1" s="935"/>
      <c r="V1" s="1"/>
      <c r="W1" s="926" t="s">
        <v>141</v>
      </c>
      <c r="X1" s="927"/>
      <c r="Y1" s="927"/>
      <c r="Z1" s="547"/>
      <c r="AA1" s="969" t="s">
        <v>27</v>
      </c>
      <c r="AB1" s="969"/>
      <c r="AC1" s="969"/>
      <c r="AD1" s="969"/>
      <c r="AE1" s="969"/>
      <c r="AF1" s="547"/>
      <c r="AG1" s="969" t="s">
        <v>11</v>
      </c>
      <c r="AH1" s="969"/>
      <c r="AI1" s="969"/>
      <c r="AJ1" s="969"/>
      <c r="AK1" s="970"/>
      <c r="AL1" s="56"/>
      <c r="AM1" s="959" t="s">
        <v>96</v>
      </c>
      <c r="AN1" s="960"/>
      <c r="AO1" s="960"/>
      <c r="AP1" s="960"/>
      <c r="AQ1" s="960"/>
      <c r="AR1" s="960"/>
      <c r="AS1" s="960"/>
      <c r="AT1" s="960"/>
      <c r="AU1" s="960"/>
      <c r="AV1" s="960"/>
      <c r="AW1" s="960"/>
      <c r="AX1" s="960"/>
      <c r="AY1" s="960"/>
      <c r="AZ1" s="960"/>
      <c r="BA1" s="960"/>
      <c r="BB1" s="960"/>
      <c r="BC1" s="960"/>
      <c r="BD1" s="960"/>
      <c r="BE1" s="960"/>
      <c r="BF1" s="960"/>
      <c r="BG1" s="960"/>
      <c r="BH1" s="960"/>
      <c r="BI1" s="960"/>
      <c r="BJ1" s="960"/>
      <c r="BK1" s="960"/>
      <c r="BL1" s="960"/>
      <c r="BM1" s="961"/>
    </row>
    <row r="2" spans="1:71" s="479" customFormat="1" ht="27.75" customHeight="1" thickTop="1" thickBot="1" x14ac:dyDescent="0.35">
      <c r="A2" s="405" t="str">
        <f>'Input Page'!G4</f>
        <v>ZX1000</v>
      </c>
      <c r="B2" s="836"/>
      <c r="C2" s="836"/>
      <c r="D2" s="847"/>
      <c r="E2" s="816"/>
      <c r="F2" s="834"/>
      <c r="G2" s="167"/>
      <c r="H2" s="167"/>
      <c r="I2" s="168"/>
      <c r="J2" s="168"/>
      <c r="K2" s="168"/>
      <c r="L2" s="871" t="s">
        <v>12</v>
      </c>
      <c r="M2" s="873" t="s">
        <v>13</v>
      </c>
      <c r="N2" s="873" t="s">
        <v>126</v>
      </c>
      <c r="O2" s="873" t="s">
        <v>127</v>
      </c>
      <c r="P2" s="873" t="s">
        <v>128</v>
      </c>
      <c r="Q2" s="930" t="s">
        <v>129</v>
      </c>
      <c r="R2" s="875" t="s">
        <v>26</v>
      </c>
      <c r="S2" s="876"/>
      <c r="T2" s="936"/>
      <c r="U2" s="937"/>
      <c r="V2" s="1"/>
      <c r="W2" s="888" t="s">
        <v>125</v>
      </c>
      <c r="X2" s="889" t="s">
        <v>130</v>
      </c>
      <c r="Y2" s="889" t="s">
        <v>131</v>
      </c>
      <c r="Z2" s="2"/>
      <c r="AA2" s="897" t="s">
        <v>132</v>
      </c>
      <c r="AB2" s="895" t="s">
        <v>135</v>
      </c>
      <c r="AC2" s="896" t="s">
        <v>134</v>
      </c>
      <c r="AD2" s="898" t="s">
        <v>137</v>
      </c>
      <c r="AE2" s="899" t="s">
        <v>139</v>
      </c>
      <c r="AF2" s="2"/>
      <c r="AG2" s="897" t="s">
        <v>132</v>
      </c>
      <c r="AH2" s="895" t="s">
        <v>140</v>
      </c>
      <c r="AI2" s="896" t="s">
        <v>134</v>
      </c>
      <c r="AJ2" s="898" t="s">
        <v>137</v>
      </c>
      <c r="AK2" s="971" t="s">
        <v>139</v>
      </c>
      <c r="AL2" s="111"/>
      <c r="AM2" s="868" t="s">
        <v>120</v>
      </c>
      <c r="AN2" s="516"/>
      <c r="AO2" s="880" t="s">
        <v>97</v>
      </c>
      <c r="AP2" s="881"/>
      <c r="AQ2" s="881"/>
      <c r="AR2" s="881"/>
      <c r="AS2" s="882"/>
      <c r="AT2" s="517"/>
      <c r="AU2" s="964" t="s">
        <v>113</v>
      </c>
      <c r="AV2" s="965"/>
      <c r="AW2" s="965"/>
      <c r="AX2" s="965"/>
      <c r="AY2" s="966"/>
      <c r="AZ2" s="517"/>
      <c r="BA2" s="877" t="s">
        <v>118</v>
      </c>
      <c r="BB2" s="878"/>
      <c r="BC2" s="878"/>
      <c r="BD2" s="879"/>
      <c r="BE2" s="518"/>
      <c r="BF2" s="890" t="s">
        <v>106</v>
      </c>
      <c r="BG2" s="891"/>
      <c r="BH2" s="891"/>
      <c r="BI2" s="892"/>
      <c r="BJ2" s="570"/>
      <c r="BK2" s="518"/>
      <c r="BL2" s="518"/>
      <c r="BM2" s="520"/>
      <c r="BR2" s="885" t="s">
        <v>210</v>
      </c>
      <c r="BS2" s="886"/>
    </row>
    <row r="3" spans="1:71" ht="19.5" customHeight="1" thickBot="1" x14ac:dyDescent="0.25">
      <c r="A3" s="837" t="s">
        <v>153</v>
      </c>
      <c r="B3" s="838"/>
      <c r="C3" s="838"/>
      <c r="D3" s="838"/>
      <c r="E3" s="838"/>
      <c r="F3" s="839"/>
      <c r="G3" s="167"/>
      <c r="H3" s="167"/>
      <c r="I3" s="168"/>
      <c r="J3" s="168"/>
      <c r="K3" s="168"/>
      <c r="L3" s="872"/>
      <c r="M3" s="874"/>
      <c r="N3" s="874"/>
      <c r="O3" s="874"/>
      <c r="P3" s="874"/>
      <c r="Q3" s="931"/>
      <c r="R3" s="3" t="s">
        <v>4</v>
      </c>
      <c r="S3" s="4" t="s">
        <v>5</v>
      </c>
      <c r="T3" s="932" t="s">
        <v>6</v>
      </c>
      <c r="U3" s="933"/>
      <c r="W3" s="888"/>
      <c r="X3" s="889"/>
      <c r="Y3" s="889"/>
      <c r="Z3" s="2"/>
      <c r="AA3" s="897"/>
      <c r="AB3" s="895"/>
      <c r="AC3" s="896"/>
      <c r="AD3" s="898"/>
      <c r="AE3" s="899"/>
      <c r="AF3" s="2"/>
      <c r="AG3" s="897"/>
      <c r="AH3" s="895"/>
      <c r="AI3" s="896"/>
      <c r="AJ3" s="898"/>
      <c r="AK3" s="971"/>
      <c r="AL3" s="111"/>
      <c r="AM3" s="869"/>
      <c r="AN3" s="52"/>
      <c r="AO3" s="867" t="s">
        <v>98</v>
      </c>
      <c r="AP3" s="870" t="s">
        <v>99</v>
      </c>
      <c r="AQ3" s="870" t="s">
        <v>100</v>
      </c>
      <c r="AR3" s="870" t="s">
        <v>101</v>
      </c>
      <c r="AS3" s="908" t="s">
        <v>102</v>
      </c>
      <c r="AT3" s="48"/>
      <c r="AU3" s="867" t="s">
        <v>98</v>
      </c>
      <c r="AV3" s="910" t="s">
        <v>103</v>
      </c>
      <c r="AW3" s="910"/>
      <c r="AX3" s="865" t="s">
        <v>104</v>
      </c>
      <c r="AY3" s="866" t="s">
        <v>105</v>
      </c>
      <c r="AZ3" s="47"/>
      <c r="BA3" s="905" t="s">
        <v>99</v>
      </c>
      <c r="BB3" s="906" t="s">
        <v>111</v>
      </c>
      <c r="BC3" s="909" t="s">
        <v>101</v>
      </c>
      <c r="BD3" s="907" t="s">
        <v>102</v>
      </c>
      <c r="BE3" s="2"/>
      <c r="BF3" s="904" t="s">
        <v>101</v>
      </c>
      <c r="BG3" s="887" t="s">
        <v>102</v>
      </c>
      <c r="BH3" s="59" t="s">
        <v>107</v>
      </c>
      <c r="BI3" s="127"/>
      <c r="BJ3" s="59"/>
      <c r="BK3" s="2"/>
      <c r="BL3" s="848" t="s">
        <v>112</v>
      </c>
      <c r="BM3" s="893" t="s">
        <v>119</v>
      </c>
      <c r="BN3" s="119"/>
      <c r="BO3" s="848" t="s">
        <v>228</v>
      </c>
      <c r="BP3" s="850" t="s">
        <v>229</v>
      </c>
      <c r="BR3" s="883" t="s">
        <v>123</v>
      </c>
      <c r="BS3" s="884"/>
    </row>
    <row r="4" spans="1:71" ht="20.100000000000001" customHeight="1" x14ac:dyDescent="0.35">
      <c r="A4" s="169" t="s">
        <v>84</v>
      </c>
      <c r="B4" s="170">
        <f>+'Input Page'!D32</f>
        <v>54.936</v>
      </c>
      <c r="C4" s="171">
        <f>+'Input Page'!E32</f>
        <v>9.9999999999999992E-25</v>
      </c>
      <c r="D4" s="171">
        <f>+'Input Page'!F32</f>
        <v>2.74</v>
      </c>
      <c r="E4" s="170">
        <f>+'Input Page'!G32</f>
        <v>-150.52464000000001</v>
      </c>
      <c r="F4" s="172">
        <f>+'Input Page'!H32</f>
        <v>0</v>
      </c>
      <c r="G4" s="167"/>
      <c r="H4" s="167"/>
      <c r="I4" s="168"/>
      <c r="J4" s="168"/>
      <c r="K4" s="168"/>
      <c r="L4" s="872"/>
      <c r="M4" s="874"/>
      <c r="N4" s="874"/>
      <c r="O4" s="874"/>
      <c r="P4" s="874"/>
      <c r="Q4" s="931"/>
      <c r="R4" s="3" t="s">
        <v>7</v>
      </c>
      <c r="S4" s="5" t="s">
        <v>8</v>
      </c>
      <c r="T4" s="3" t="s">
        <v>9</v>
      </c>
      <c r="U4" s="6" t="s">
        <v>10</v>
      </c>
      <c r="W4" s="888"/>
      <c r="X4" s="889"/>
      <c r="Y4" s="889"/>
      <c r="Z4" s="2"/>
      <c r="AA4" s="88" t="s">
        <v>144</v>
      </c>
      <c r="AB4" s="86" t="s">
        <v>133</v>
      </c>
      <c r="AC4" s="88" t="s">
        <v>136</v>
      </c>
      <c r="AD4" s="88" t="s">
        <v>138</v>
      </c>
      <c r="AE4" s="88" t="s">
        <v>143</v>
      </c>
      <c r="AF4" s="2"/>
      <c r="AG4" s="88" t="s">
        <v>145</v>
      </c>
      <c r="AH4" s="86" t="s">
        <v>133</v>
      </c>
      <c r="AI4" s="88" t="s">
        <v>136</v>
      </c>
      <c r="AJ4" s="88" t="s">
        <v>138</v>
      </c>
      <c r="AK4" s="548" t="s">
        <v>143</v>
      </c>
      <c r="AL4" s="112"/>
      <c r="AM4" s="869"/>
      <c r="AN4" s="52"/>
      <c r="AO4" s="867"/>
      <c r="AP4" s="870"/>
      <c r="AQ4" s="870"/>
      <c r="AR4" s="870"/>
      <c r="AS4" s="908"/>
      <c r="AT4" s="49"/>
      <c r="AU4" s="867"/>
      <c r="AV4" s="967" t="s">
        <v>99</v>
      </c>
      <c r="AW4" s="967" t="s">
        <v>100</v>
      </c>
      <c r="AX4" s="865"/>
      <c r="AY4" s="866"/>
      <c r="AZ4" s="47"/>
      <c r="BA4" s="905"/>
      <c r="BB4" s="906"/>
      <c r="BC4" s="909"/>
      <c r="BD4" s="907"/>
      <c r="BE4" s="2"/>
      <c r="BF4" s="904"/>
      <c r="BG4" s="887"/>
      <c r="BH4" s="900" t="s">
        <v>108</v>
      </c>
      <c r="BI4" s="902" t="s">
        <v>109</v>
      </c>
      <c r="BJ4" s="887" t="s">
        <v>124</v>
      </c>
      <c r="BK4" s="2"/>
      <c r="BL4" s="849"/>
      <c r="BM4" s="894"/>
      <c r="BN4" s="119"/>
      <c r="BO4" s="849"/>
      <c r="BP4" s="851"/>
      <c r="BR4" s="883"/>
      <c r="BS4" s="884"/>
    </row>
    <row r="5" spans="1:71" ht="20.100000000000001" customHeight="1" thickBot="1" x14ac:dyDescent="0.25">
      <c r="A5" s="630" t="s">
        <v>236</v>
      </c>
      <c r="B5" s="173">
        <f>+'Input Page'!D34</f>
        <v>70.141499999999994</v>
      </c>
      <c r="C5" s="174">
        <f>+'Input Page'!E34</f>
        <v>-0.30069930069930073</v>
      </c>
      <c r="D5" s="174">
        <f>+'Input Page'!F34</f>
        <v>3.4671328671328676</v>
      </c>
      <c r="E5" s="173">
        <f>+'Input Page'!G34</f>
        <v>-243.18990000000002</v>
      </c>
      <c r="F5" s="175">
        <f>+'Input Page'!H34</f>
        <v>-21.0915</v>
      </c>
      <c r="G5" s="167"/>
      <c r="H5" s="167"/>
      <c r="I5" s="176"/>
      <c r="J5" s="176"/>
      <c r="K5" s="176"/>
      <c r="L5" s="872"/>
      <c r="M5" s="874"/>
      <c r="N5" s="874"/>
      <c r="O5" s="874"/>
      <c r="P5" s="874"/>
      <c r="Q5" s="931"/>
      <c r="R5" s="81"/>
      <c r="S5" s="82"/>
      <c r="T5" s="83"/>
      <c r="U5" s="6"/>
      <c r="W5" s="888"/>
      <c r="X5" s="889"/>
      <c r="Y5" s="889"/>
      <c r="Z5" s="2"/>
      <c r="AA5" s="88" t="s">
        <v>146</v>
      </c>
      <c r="AB5" s="87" t="s">
        <v>7</v>
      </c>
      <c r="AC5" s="86" t="s">
        <v>7</v>
      </c>
      <c r="AD5" s="88" t="s">
        <v>7</v>
      </c>
      <c r="AE5" s="88" t="s">
        <v>142</v>
      </c>
      <c r="AF5" s="2"/>
      <c r="AG5" s="88" t="s">
        <v>146</v>
      </c>
      <c r="AH5" s="87" t="s">
        <v>7</v>
      </c>
      <c r="AI5" s="86" t="s">
        <v>7</v>
      </c>
      <c r="AJ5" s="88" t="s">
        <v>7</v>
      </c>
      <c r="AK5" s="548" t="s">
        <v>142</v>
      </c>
      <c r="AL5" s="112"/>
      <c r="AM5" s="869"/>
      <c r="AN5" s="52"/>
      <c r="AO5" s="867"/>
      <c r="AP5" s="870"/>
      <c r="AQ5" s="870"/>
      <c r="AR5" s="870"/>
      <c r="AS5" s="908"/>
      <c r="AT5" s="48"/>
      <c r="AU5" s="867"/>
      <c r="AV5" s="968"/>
      <c r="AW5" s="968"/>
      <c r="AX5" s="865"/>
      <c r="AY5" s="866"/>
      <c r="AZ5" s="47"/>
      <c r="BA5" s="905"/>
      <c r="BB5" s="906"/>
      <c r="BC5" s="909"/>
      <c r="BD5" s="907"/>
      <c r="BE5" s="2"/>
      <c r="BF5" s="904"/>
      <c r="BG5" s="887"/>
      <c r="BH5" s="901"/>
      <c r="BI5" s="903"/>
      <c r="BJ5" s="887"/>
      <c r="BK5" s="2"/>
      <c r="BL5" s="849"/>
      <c r="BM5" s="894"/>
      <c r="BN5" s="119"/>
      <c r="BO5" s="849"/>
      <c r="BP5" s="851"/>
      <c r="BR5" s="507" t="s">
        <v>121</v>
      </c>
      <c r="BS5" s="512" t="s">
        <v>122</v>
      </c>
    </row>
    <row r="6" spans="1:71" ht="20.100000000000001" customHeight="1" x14ac:dyDescent="0.25">
      <c r="A6" s="177" t="s">
        <v>83</v>
      </c>
      <c r="B6" s="178">
        <f>+'Input Page'!D35</f>
        <v>39.24</v>
      </c>
      <c r="C6" s="179">
        <f>+'Input Page'!E35</f>
        <v>9.9999999999999992E-25</v>
      </c>
      <c r="D6" s="179">
        <f>+'Input Page'!F35</f>
        <v>-2.4500000000000002</v>
      </c>
      <c r="E6" s="178">
        <f>+'Input Page'!G35</f>
        <v>96.138000000000005</v>
      </c>
      <c r="F6" s="180">
        <f>+'Input Page'!H35</f>
        <v>0</v>
      </c>
      <c r="G6" s="817" t="s">
        <v>90</v>
      </c>
      <c r="H6" s="921" t="s">
        <v>89</v>
      </c>
      <c r="I6" s="181"/>
      <c r="J6" s="182"/>
      <c r="K6" s="176"/>
      <c r="L6" s="412">
        <v>0</v>
      </c>
      <c r="M6" s="7">
        <f t="shared" ref="M6:M29" si="0">+IF(ABS(BI6)&gt;$I$26/2,"ERROR",IF(ABS(BI6)&gt;$I$26/6,$B$27/(3*($I$26/2-ABS(BI6))*2*$I$27),$B$27/(2*$I$26*$I$27)))</f>
        <v>51.998838864334409</v>
      </c>
      <c r="N6" s="7">
        <f t="shared" ref="N6:N29" si="1">+((($I$28/2)-$BH6)*Y6*2)/$I$28</f>
        <v>102.60136002086074</v>
      </c>
      <c r="O6" s="7">
        <f t="shared" ref="O6:O29" si="2">+((($I$28/2)-$BH6)*X6*2)/$I$28</f>
        <v>3.4031777019875227</v>
      </c>
      <c r="P6" s="7">
        <f t="shared" ref="P6:P29" si="3">+(BH6+$I$28/2)*Y6*2/$I$28</f>
        <v>98.716496802785755</v>
      </c>
      <c r="Q6" s="8">
        <f t="shared" ref="Q6:Q29" si="4">+((BH6+$I$28/2)*X6*2)/$I$28</f>
        <v>3.2743209317036177</v>
      </c>
      <c r="R6" s="77">
        <f>+IF(N6&gt;P6,AB6,AH6)</f>
        <v>0.59485168511271269</v>
      </c>
      <c r="S6" s="78">
        <f>+IF(N6&gt;P6,AC6,AI6)</f>
        <v>3.8140000000000001</v>
      </c>
      <c r="T6" s="80">
        <f>+IF(N6&gt;P6,AD6,AJ6)</f>
        <v>2.6242966297745749</v>
      </c>
      <c r="U6" s="79">
        <f>+MAX(AE6,AK6)</f>
        <v>77.030413080565609</v>
      </c>
      <c r="W6" s="549" t="str">
        <f>+IF(BI6&lt;0,"Max @ Rear","Max @ Front")</f>
        <v>Max @ Front</v>
      </c>
      <c r="X6" s="76">
        <f>+IF(ABS(BI6)&gt;$I$26/2,"ERROR",IF(ABS(BH6)&gt;$I$28/2,"ERROR",IF(ABS(BI6)&lt;$I$26/6,($B$27/(2*$I$27*$I$26)*(1-(6*ABS(BI6)/$I$26))),0)))</f>
        <v>3.3387493168455702</v>
      </c>
      <c r="Y6" s="76">
        <f>+IF(ABS(BI6)&gt;$I$26/2,"ERROR",IF(ABS(BH6)&gt;$I$28/2,"ERROR",IF(ABS(BI6)&lt;$I$26/6,($B$27/(2*$I$27*$I$26)*(1+(6*ABS(BI6)/$I$26))),($B$27/(3*$I$27*($I$26/2-ABS(BI6)))))))</f>
        <v>100.65892841182325</v>
      </c>
      <c r="Z6" s="2"/>
      <c r="AA6" s="115">
        <f t="shared" ref="AA6:AA30" si="5">+(($I$28/2-BH6)*$B$27)/($I$28)</f>
        <v>141.50545740623014</v>
      </c>
      <c r="AB6" s="90">
        <f>+BI6</f>
        <v>0.59485168511271269</v>
      </c>
      <c r="AC6" s="91">
        <f t="shared" ref="AC6:AC30" si="6">+IF(O6&gt;0,$I$26,AA6/(N6*$I$27*0.5))</f>
        <v>3.8140000000000001</v>
      </c>
      <c r="AD6" s="92">
        <f t="shared" ref="AD6:AD30" si="7">+($I$26/2-ABS(AB6))*2</f>
        <v>2.6242966297745749</v>
      </c>
      <c r="AE6" s="43">
        <f t="shared" ref="AE6:AE30" si="8">+IF(O6&gt;0,((O6*$I$26)+((N6-O6)*$I$26/2))/AD6,3*N6/4)</f>
        <v>77.030413080565609</v>
      </c>
      <c r="AF6" s="2"/>
      <c r="AG6" s="89">
        <f t="shared" ref="AG6:AG30" si="9">+$B$27-AA6</f>
        <v>136.14754259376988</v>
      </c>
      <c r="AH6" s="90">
        <f>+BI6</f>
        <v>0.59485168511271269</v>
      </c>
      <c r="AI6" s="91">
        <f t="shared" ref="AI6:AI30" si="10">+IF(O6&gt;0,$I$26,AA6/(N6*$I$27*0.5))</f>
        <v>3.8140000000000001</v>
      </c>
      <c r="AJ6" s="92">
        <f t="shared" ref="AJ6:AJ30" si="11">+($I$26/2-ABS(AH6))*2</f>
        <v>2.6242966297745749</v>
      </c>
      <c r="AK6" s="550">
        <f t="shared" ref="AK6:AK30" si="12">+IF(Q6&gt;0,((Q6*$I$26)+((P6-Q6)*$I$26/2))/AJ6,3*P6/4)</f>
        <v>74.113759554832939</v>
      </c>
      <c r="AL6" s="42"/>
      <c r="AM6" s="521">
        <f t="shared" ref="AM6:AM29" si="13">+L6</f>
        <v>0</v>
      </c>
      <c r="AN6" s="522"/>
      <c r="AO6" s="60">
        <f>+B24</f>
        <v>98.1</v>
      </c>
      <c r="AP6" s="74">
        <f>+C24</f>
        <v>0</v>
      </c>
      <c r="AQ6" s="74">
        <f>+D24</f>
        <v>0</v>
      </c>
      <c r="AR6" s="61">
        <f>+E24</f>
        <v>0</v>
      </c>
      <c r="AS6" s="62">
        <f>+F24</f>
        <v>0</v>
      </c>
      <c r="AT6" s="67"/>
      <c r="AU6" s="63">
        <f t="shared" ref="AU6:AU30" si="14">+$B$16</f>
        <v>179.553</v>
      </c>
      <c r="AV6" s="64">
        <f t="shared" ref="AV6:AV30" si="15">+$C$16</f>
        <v>4.9236489730382887E-2</v>
      </c>
      <c r="AW6" s="64">
        <f t="shared" ref="AW6:AW30" si="16">+$D$16</f>
        <v>-0.91985293994865036</v>
      </c>
      <c r="AX6" s="68">
        <f>+DEGREES(ATAN(AV6/AW6))</f>
        <v>-3.063917485085613</v>
      </c>
      <c r="AY6" s="72">
        <f>+(AV6^2+AW6^2)^0.5</f>
        <v>0.92116972543236864</v>
      </c>
      <c r="AZ6" s="523"/>
      <c r="BA6" s="65">
        <f>+AY6*(SIN(RADIANS(AX6+AM6)))</f>
        <v>-4.9236489730382887E-2</v>
      </c>
      <c r="BB6" s="66">
        <f>+AY6*(COS(RADIANS(AX6+AM6)))</f>
        <v>0.91985293994865036</v>
      </c>
      <c r="BC6" s="117">
        <f>+BB6*AU6*-1</f>
        <v>-165.16235492660002</v>
      </c>
      <c r="BD6" s="62">
        <f>+BA6*AU6</f>
        <v>-8.8405594405594385</v>
      </c>
      <c r="BE6" s="67"/>
      <c r="BF6" s="60">
        <f>+BC6+AR6</f>
        <v>-165.16235492660002</v>
      </c>
      <c r="BG6" s="61">
        <f>+BD6+AS6</f>
        <v>-8.8405594405594385</v>
      </c>
      <c r="BH6" s="116">
        <f>+IF(BG6=0,1E-24/(AO6+AU6),(BG6/(AO6+AU6)))</f>
        <v>-3.1840316656255967E-2</v>
      </c>
      <c r="BI6" s="128">
        <f>+IF(BF6=0,1E-24/(AO6+AU6)*-1,BF6/(AO6+AU6)*-1)</f>
        <v>0.59485168511271269</v>
      </c>
      <c r="BJ6" s="66" t="str">
        <f t="shared" ref="BJ6:BJ30" si="17">+IF(ABS(BI6)&gt;($I$26/6),"yes","no")</f>
        <v>no</v>
      </c>
      <c r="BK6" s="2"/>
      <c r="BL6" s="71">
        <f>+(BF6^2+BG6^2)^0.5</f>
        <v>165.39878771055808</v>
      </c>
      <c r="BM6" s="524">
        <f>+DEGREES(ATAN(BH6/BI6))</f>
        <v>-3.0639174850856126</v>
      </c>
      <c r="BN6" s="120"/>
      <c r="BO6" s="577">
        <f>+ABS(BH6/($I$28/2))</f>
        <v>1.9297161609852103E-2</v>
      </c>
      <c r="BP6" s="578">
        <f>+ABS(BI6)/($I$26/2)</f>
        <v>0.31193061621012724</v>
      </c>
      <c r="BR6" s="507" t="str">
        <f>+IF(ABS(BI6)&gt;$I$26/2,"YES-ERROR","NO-OK")</f>
        <v>NO-OK</v>
      </c>
      <c r="BS6" s="512" t="str">
        <f>+IF(ABS(BH6)&gt;$I$28/2,"YES-ERROR","NO-OK")</f>
        <v>NO-OK</v>
      </c>
    </row>
    <row r="7" spans="1:71" ht="20.100000000000001" customHeight="1" x14ac:dyDescent="0.25">
      <c r="A7" s="183" t="s">
        <v>85</v>
      </c>
      <c r="B7" s="184">
        <f>+'Input Page'!D36</f>
        <v>9.9999999999999992E-25</v>
      </c>
      <c r="C7" s="185">
        <f>+'Input Page'!E36</f>
        <v>9.9999999999999992E-25</v>
      </c>
      <c r="D7" s="185">
        <f>+'Input Page'!F36</f>
        <v>9.9999999999999992E-25</v>
      </c>
      <c r="E7" s="184">
        <f>+'Input Page'!G36</f>
        <v>0</v>
      </c>
      <c r="F7" s="186">
        <f>+'Input Page'!H36</f>
        <v>0</v>
      </c>
      <c r="G7" s="818"/>
      <c r="H7" s="922"/>
      <c r="I7" s="181"/>
      <c r="J7" s="182"/>
      <c r="K7" s="176"/>
      <c r="L7" s="413">
        <f>+IF('Input Page'!$G$68="YES",Penetrating!L6+15,0)</f>
        <v>15</v>
      </c>
      <c r="M7" s="9">
        <f t="shared" si="0"/>
        <v>51.998838864334409</v>
      </c>
      <c r="N7" s="9">
        <f t="shared" si="1"/>
        <v>92.232382115998576</v>
      </c>
      <c r="O7" s="9">
        <f t="shared" si="2"/>
        <v>3.9999112332918756</v>
      </c>
      <c r="P7" s="9">
        <f t="shared" si="3"/>
        <v>107.117611895503</v>
      </c>
      <c r="Q7" s="10">
        <f t="shared" si="4"/>
        <v>4.6454502125441834</v>
      </c>
      <c r="R7" s="11">
        <f t="shared" ref="R7:R29" si="18">+IF(N7&gt;P7,AB7,AH7)</f>
        <v>0.58282348581467569</v>
      </c>
      <c r="S7" s="12">
        <f t="shared" ref="S7:S29" si="19">+IF(N7&gt;P7,AC7,AI7)</f>
        <v>3.8140000000000001</v>
      </c>
      <c r="T7" s="13">
        <f t="shared" ref="T7:T29" si="20">+IF(N7&gt;P7,AD7,AJ7)</f>
        <v>2.6483530283706487</v>
      </c>
      <c r="U7" s="14">
        <f t="shared" ref="U7:U29" si="21">+MAX(AE7,AK7)</f>
        <v>80.477246483703013</v>
      </c>
      <c r="W7" s="549" t="str">
        <f t="shared" ref="W7:W29" si="22">+IF(BI7&lt;0,"Max @ Rear","Max @ Front")</f>
        <v>Max @ Front</v>
      </c>
      <c r="X7" s="76">
        <f t="shared" ref="X7:X30" si="23">+IF(ABS(BI7)&gt;$I$26/2,"ERROR",IF(ABS(BH7)&gt;$I$28/2,"ERROR",IF(ABS(BI7)&lt;$I$26/6,($B$27/(2*$I$27*$I$26)*(1-(6*ABS(BI7)/$I$26))),0)))</f>
        <v>4.3226807229180295</v>
      </c>
      <c r="Y7" s="76">
        <f t="shared" ref="Y7:Y30" si="24">+IF(ABS(BI7)&gt;$I$26/2,"ERROR",IF(ABS(BH7)&gt;$I$28/2,"ERROR",IF(ABS(BI7)&lt;$I$26/6,($B$27/(2*$I$27*$I$26)*(1+(6*ABS(BI7)/$I$26))),($B$27/(3*$I$27*($I$26/2-ABS(BI7)))))))</f>
        <v>99.674997005750797</v>
      </c>
      <c r="Z7" s="2"/>
      <c r="AA7" s="89">
        <f t="shared" si="5"/>
        <v>128.46048839196783</v>
      </c>
      <c r="AB7" s="90">
        <f t="shared" ref="AB7:AB30" si="25">+BI7</f>
        <v>0.58282348581467569</v>
      </c>
      <c r="AC7" s="91">
        <f t="shared" si="6"/>
        <v>3.8140000000000001</v>
      </c>
      <c r="AD7" s="92">
        <f t="shared" si="7"/>
        <v>2.6483530283706487</v>
      </c>
      <c r="AE7" s="43">
        <f t="shared" si="8"/>
        <v>69.294003273423556</v>
      </c>
      <c r="AF7" s="2"/>
      <c r="AG7" s="89">
        <f t="shared" si="9"/>
        <v>149.19251160803219</v>
      </c>
      <c r="AH7" s="90">
        <f t="shared" ref="AH7:AH30" si="26">+BI7</f>
        <v>0.58282348581467569</v>
      </c>
      <c r="AI7" s="91">
        <f t="shared" si="10"/>
        <v>3.8140000000000001</v>
      </c>
      <c r="AJ7" s="92">
        <f t="shared" si="11"/>
        <v>2.6483530283706487</v>
      </c>
      <c r="AK7" s="550">
        <f t="shared" si="12"/>
        <v>80.477246483703013</v>
      </c>
      <c r="AL7" s="42"/>
      <c r="AM7" s="525">
        <f t="shared" si="13"/>
        <v>15</v>
      </c>
      <c r="AN7" s="526"/>
      <c r="AO7" s="54">
        <f>+AO$6</f>
        <v>98.1</v>
      </c>
      <c r="AP7" s="75">
        <f t="shared" ref="AP7:AS22" si="27">+AP$6</f>
        <v>0</v>
      </c>
      <c r="AQ7" s="75">
        <f t="shared" si="27"/>
        <v>0</v>
      </c>
      <c r="AR7" s="53">
        <f t="shared" si="27"/>
        <v>0</v>
      </c>
      <c r="AS7" s="55">
        <f t="shared" si="27"/>
        <v>0</v>
      </c>
      <c r="AT7" s="2"/>
      <c r="AU7" s="51">
        <f t="shared" si="14"/>
        <v>179.553</v>
      </c>
      <c r="AV7" s="50">
        <f t="shared" si="15"/>
        <v>4.9236489730382887E-2</v>
      </c>
      <c r="AW7" s="50">
        <f t="shared" si="16"/>
        <v>-0.91985293994865036</v>
      </c>
      <c r="AX7" s="69">
        <f t="shared" ref="AX7:AX30" si="28">+DEGREES(ATAN(AV7/AW7))</f>
        <v>-3.063917485085613</v>
      </c>
      <c r="AY7" s="73">
        <f t="shared" ref="AY7:AY30" si="29">+(AV7^2+AW7^2)^0.5</f>
        <v>0.92116972543236864</v>
      </c>
      <c r="AZ7" s="527"/>
      <c r="BA7" s="58">
        <f t="shared" ref="BA7:BA30" si="30">+AY7*(SIN(RADIANS(AX7+AM7)))</f>
        <v>0.19051666252586275</v>
      </c>
      <c r="BB7" s="57">
        <f t="shared" ref="BB7:BB30" si="31">+AY7*(COS(RADIANS(AX7+AM7)))</f>
        <v>0.90125305234054653</v>
      </c>
      <c r="BC7" s="53">
        <f t="shared" ref="BC7:BC30" si="32">+BB7*AU7*-1</f>
        <v>-161.82268930690216</v>
      </c>
      <c r="BD7" s="55">
        <f t="shared" ref="BD7:BD30" si="33">+BA7*AU7</f>
        <v>34.207838306506233</v>
      </c>
      <c r="BE7" s="2"/>
      <c r="BF7" s="54">
        <f t="shared" ref="BF7:BG30" si="34">+BC7+AR7</f>
        <v>-161.82268930690216</v>
      </c>
      <c r="BG7" s="53">
        <f t="shared" si="34"/>
        <v>34.207838306506233</v>
      </c>
      <c r="BH7" s="57">
        <f t="shared" ref="BH7:BH30" si="35">+IF(BG7=0,1E-24/(AO7+AU7),(BG7/(AO7+AU7)))</f>
        <v>0.12320356094299802</v>
      </c>
      <c r="BI7" s="129">
        <f t="shared" ref="BI7:BI30" si="36">+IF(BF7=0,1E-24/(AO7+AU7)*-1,BF7/(AO7+AU7)*-1)</f>
        <v>0.58282348581467569</v>
      </c>
      <c r="BJ7" s="66" t="str">
        <f t="shared" si="17"/>
        <v>no</v>
      </c>
      <c r="BK7" s="2"/>
      <c r="BL7" s="70">
        <f t="shared" ref="BL7:BL30" si="37">+(BF7^2+BG7^2)^0.5</f>
        <v>165.39878771055808</v>
      </c>
      <c r="BM7" s="528">
        <f t="shared" ref="BM7:BM30" si="38">+DEGREES(ATAN(BH7/BI7))</f>
        <v>11.936082514914386</v>
      </c>
      <c r="BN7" s="121"/>
      <c r="BO7" s="577">
        <f t="shared" ref="BO7:BO30" si="39">+ABS(BH7/($I$28/2))</f>
        <v>7.4668824813938189E-2</v>
      </c>
      <c r="BP7" s="578">
        <f t="shared" ref="BP7:BP30" si="40">+ABS(BI7)/($I$26/2)</f>
        <v>0.30562322276595472</v>
      </c>
      <c r="BR7" s="507" t="str">
        <f t="shared" ref="BR7:BR30" si="41">+IF(ABS(BI7)&gt;$I$26/2,"YES-ERROR","NO-OK")</f>
        <v>NO-OK</v>
      </c>
      <c r="BS7" s="512" t="str">
        <f t="shared" ref="BS7:BS30" si="42">+IF(ABS(BH7)&gt;$I$28/2,"YES-ERROR","NO-OK")</f>
        <v>NO-OK</v>
      </c>
    </row>
    <row r="8" spans="1:71" ht="19.5" customHeight="1" thickBot="1" x14ac:dyDescent="0.3">
      <c r="A8" s="187" t="s">
        <v>214</v>
      </c>
      <c r="B8" s="188">
        <f>+'Input Page'!D33</f>
        <v>114.777</v>
      </c>
      <c r="C8" s="189">
        <f>+'Input Page'!E33</f>
        <v>9.9999999999999992E-25</v>
      </c>
      <c r="D8" s="189">
        <f>+'Input Page'!F33</f>
        <v>-1.0247287229400814</v>
      </c>
      <c r="E8" s="188">
        <f>+'Input Page'!G33</f>
        <v>117.61528863289372</v>
      </c>
      <c r="F8" s="190">
        <f>+'Input Page'!H33</f>
        <v>0</v>
      </c>
      <c r="G8" s="191"/>
      <c r="H8" s="192"/>
      <c r="I8" s="182"/>
      <c r="J8" s="182"/>
      <c r="K8" s="176"/>
      <c r="L8" s="413">
        <f>+IF('Input Page'!$G$68="YES",Penetrating!L7+15,0)</f>
        <v>30</v>
      </c>
      <c r="M8" s="9">
        <f t="shared" si="0"/>
        <v>51.998838864334409</v>
      </c>
      <c r="N8" s="9">
        <f t="shared" si="1"/>
        <v>79.832830291249678</v>
      </c>
      <c r="O8" s="9">
        <f t="shared" si="2"/>
        <v>7.1564167970331587</v>
      </c>
      <c r="P8" s="9">
        <f t="shared" si="3"/>
        <v>111.05119813058511</v>
      </c>
      <c r="Q8" s="10">
        <f t="shared" si="4"/>
        <v>9.954910238469715</v>
      </c>
      <c r="R8" s="11">
        <f t="shared" si="18"/>
        <v>0.53107682911971865</v>
      </c>
      <c r="S8" s="12">
        <f t="shared" si="19"/>
        <v>3.8140000000000001</v>
      </c>
      <c r="T8" s="13">
        <f t="shared" si="20"/>
        <v>2.7518463417605625</v>
      </c>
      <c r="U8" s="14">
        <f t="shared" si="21"/>
        <v>83.855935252603501</v>
      </c>
      <c r="W8" s="549" t="str">
        <f t="shared" si="22"/>
        <v>Max @ Front</v>
      </c>
      <c r="X8" s="76">
        <f t="shared" si="23"/>
        <v>8.5556635177514373</v>
      </c>
      <c r="Y8" s="76">
        <f t="shared" si="24"/>
        <v>95.442014210917392</v>
      </c>
      <c r="Z8" s="2"/>
      <c r="AA8" s="89">
        <f t="shared" si="5"/>
        <v>116.12194593814874</v>
      </c>
      <c r="AB8" s="90">
        <f t="shared" si="25"/>
        <v>0.53107682911971865</v>
      </c>
      <c r="AC8" s="91">
        <f t="shared" si="6"/>
        <v>3.8140000000000001</v>
      </c>
      <c r="AD8" s="92">
        <f t="shared" si="7"/>
        <v>2.7518463417605625</v>
      </c>
      <c r="AE8" s="43">
        <f t="shared" si="8"/>
        <v>60.282615231788007</v>
      </c>
      <c r="AF8" s="2"/>
      <c r="AG8" s="89">
        <f t="shared" si="9"/>
        <v>161.53105406185128</v>
      </c>
      <c r="AH8" s="90">
        <f t="shared" si="26"/>
        <v>0.53107682911971865</v>
      </c>
      <c r="AI8" s="91">
        <f t="shared" si="10"/>
        <v>3.8140000000000001</v>
      </c>
      <c r="AJ8" s="92">
        <f t="shared" si="11"/>
        <v>2.7518463417605625</v>
      </c>
      <c r="AK8" s="550">
        <f t="shared" si="12"/>
        <v>83.855935252603501</v>
      </c>
      <c r="AL8" s="42"/>
      <c r="AM8" s="525">
        <f t="shared" si="13"/>
        <v>30</v>
      </c>
      <c r="AN8" s="526"/>
      <c r="AO8" s="54">
        <f t="shared" ref="AO8:AS30" si="43">+AO$6</f>
        <v>98.1</v>
      </c>
      <c r="AP8" s="75">
        <f t="shared" si="27"/>
        <v>0</v>
      </c>
      <c r="AQ8" s="75">
        <f t="shared" si="27"/>
        <v>0</v>
      </c>
      <c r="AR8" s="53">
        <f t="shared" si="27"/>
        <v>0</v>
      </c>
      <c r="AS8" s="55">
        <f t="shared" si="27"/>
        <v>0</v>
      </c>
      <c r="AT8" s="2"/>
      <c r="AU8" s="51">
        <f t="shared" si="14"/>
        <v>179.553</v>
      </c>
      <c r="AV8" s="50">
        <f t="shared" si="15"/>
        <v>4.9236489730382887E-2</v>
      </c>
      <c r="AW8" s="50">
        <f t="shared" si="16"/>
        <v>-0.91985293994865036</v>
      </c>
      <c r="AX8" s="69">
        <f t="shared" si="28"/>
        <v>-3.063917485085613</v>
      </c>
      <c r="AY8" s="73">
        <f t="shared" si="29"/>
        <v>0.92116972543236864</v>
      </c>
      <c r="AZ8" s="527"/>
      <c r="BA8" s="58">
        <f t="shared" si="30"/>
        <v>0.41728641907464198</v>
      </c>
      <c r="BB8" s="57">
        <f t="shared" si="31"/>
        <v>0.82123425860652433</v>
      </c>
      <c r="BC8" s="53">
        <f t="shared" si="32"/>
        <v>-147.45507483557725</v>
      </c>
      <c r="BD8" s="55">
        <f t="shared" si="33"/>
        <v>74.925028404109185</v>
      </c>
      <c r="BE8" s="2"/>
      <c r="BF8" s="54">
        <f t="shared" si="34"/>
        <v>-147.45507483557725</v>
      </c>
      <c r="BG8" s="53">
        <f t="shared" si="34"/>
        <v>74.925028404109185</v>
      </c>
      <c r="BH8" s="57">
        <f t="shared" si="35"/>
        <v>0.26985131946749785</v>
      </c>
      <c r="BI8" s="129">
        <f t="shared" si="36"/>
        <v>0.53107682911971865</v>
      </c>
      <c r="BJ8" s="66" t="str">
        <f t="shared" si="17"/>
        <v>no</v>
      </c>
      <c r="BK8" s="2"/>
      <c r="BL8" s="70">
        <f t="shared" si="37"/>
        <v>165.39878771055808</v>
      </c>
      <c r="BM8" s="528">
        <f t="shared" si="38"/>
        <v>26.936082514914386</v>
      </c>
      <c r="BN8" s="121"/>
      <c r="BO8" s="577">
        <f t="shared" si="39"/>
        <v>0.16354625422272598</v>
      </c>
      <c r="BP8" s="578">
        <f t="shared" si="40"/>
        <v>0.27848811175653837</v>
      </c>
      <c r="BR8" s="507" t="str">
        <f t="shared" si="41"/>
        <v>NO-OK</v>
      </c>
      <c r="BS8" s="512" t="str">
        <f t="shared" si="42"/>
        <v>NO-OK</v>
      </c>
    </row>
    <row r="9" spans="1:71" ht="19.5" customHeight="1" thickBot="1" x14ac:dyDescent="0.3">
      <c r="A9" s="193" t="s">
        <v>220</v>
      </c>
      <c r="B9" s="194">
        <f>+IF(G9&gt;0,+G9-B5,0)</f>
        <v>0</v>
      </c>
      <c r="C9" s="195">
        <f>+'Input Page'!E48</f>
        <v>-0.30069930069930073</v>
      </c>
      <c r="D9" s="195">
        <f>+'Input Page'!F48</f>
        <v>3.4671328671328676</v>
      </c>
      <c r="E9" s="196">
        <f>+B9*D9*-1</f>
        <v>0</v>
      </c>
      <c r="F9" s="197">
        <f>+B9*C9</f>
        <v>0</v>
      </c>
      <c r="G9" s="684">
        <v>0</v>
      </c>
      <c r="H9" s="199">
        <f>+'Input Page'!D48</f>
        <v>392</v>
      </c>
      <c r="I9" s="181"/>
      <c r="J9" s="181"/>
      <c r="K9" s="176"/>
      <c r="L9" s="413">
        <f>+IF('Input Page'!$G$68="YES",Penetrating!L8+15,0)</f>
        <v>45</v>
      </c>
      <c r="M9" s="9">
        <f t="shared" si="0"/>
        <v>51.998838864334409</v>
      </c>
      <c r="N9" s="9">
        <f t="shared" si="1"/>
        <v>66.956016678541488</v>
      </c>
      <c r="O9" s="9">
        <f t="shared" si="2"/>
        <v>11.949280589115409</v>
      </c>
      <c r="P9" s="9">
        <f t="shared" si="3"/>
        <v>109.54088494037077</v>
      </c>
      <c r="Q9" s="10">
        <f t="shared" si="4"/>
        <v>19.549173249309991</v>
      </c>
      <c r="R9" s="11">
        <f t="shared" si="18"/>
        <v>0.44313816416620955</v>
      </c>
      <c r="S9" s="12">
        <f t="shared" si="19"/>
        <v>3.8140000000000001</v>
      </c>
      <c r="T9" s="13">
        <f t="shared" si="20"/>
        <v>2.927723671667581</v>
      </c>
      <c r="U9" s="14">
        <f t="shared" si="21"/>
        <v>84.08400811525506</v>
      </c>
      <c r="W9" s="549" t="str">
        <f t="shared" si="22"/>
        <v>Max @ Front</v>
      </c>
      <c r="X9" s="76">
        <f t="shared" si="23"/>
        <v>15.749226919212701</v>
      </c>
      <c r="Y9" s="76">
        <f t="shared" si="24"/>
        <v>88.248450809456131</v>
      </c>
      <c r="Z9" s="2"/>
      <c r="AA9" s="89">
        <f t="shared" si="5"/>
        <v>105.33068132259518</v>
      </c>
      <c r="AB9" s="90">
        <f t="shared" si="25"/>
        <v>0.44313816416620955</v>
      </c>
      <c r="AC9" s="91">
        <f t="shared" si="6"/>
        <v>3.8140000000000001</v>
      </c>
      <c r="AD9" s="92">
        <f t="shared" si="7"/>
        <v>2.927723671667581</v>
      </c>
      <c r="AE9" s="43">
        <f t="shared" si="8"/>
        <v>51.395698079564731</v>
      </c>
      <c r="AF9" s="2"/>
      <c r="AG9" s="89">
        <f t="shared" si="9"/>
        <v>172.32231867740484</v>
      </c>
      <c r="AH9" s="90">
        <f t="shared" si="26"/>
        <v>0.44313816416620955</v>
      </c>
      <c r="AI9" s="91">
        <f t="shared" si="10"/>
        <v>3.8140000000000001</v>
      </c>
      <c r="AJ9" s="92">
        <f t="shared" si="11"/>
        <v>2.927723671667581</v>
      </c>
      <c r="AK9" s="550">
        <f t="shared" si="12"/>
        <v>84.08400811525506</v>
      </c>
      <c r="AL9" s="42"/>
      <c r="AM9" s="525">
        <f t="shared" si="13"/>
        <v>45</v>
      </c>
      <c r="AN9" s="526"/>
      <c r="AO9" s="54">
        <f t="shared" si="43"/>
        <v>98.1</v>
      </c>
      <c r="AP9" s="75">
        <f t="shared" si="27"/>
        <v>0</v>
      </c>
      <c r="AQ9" s="75">
        <f t="shared" si="27"/>
        <v>0</v>
      </c>
      <c r="AR9" s="53">
        <f t="shared" si="27"/>
        <v>0</v>
      </c>
      <c r="AS9" s="55">
        <f t="shared" si="27"/>
        <v>0</v>
      </c>
      <c r="AT9" s="2"/>
      <c r="AU9" s="51">
        <f t="shared" si="14"/>
        <v>179.553</v>
      </c>
      <c r="AV9" s="50">
        <f t="shared" si="15"/>
        <v>4.9236489730382887E-2</v>
      </c>
      <c r="AW9" s="50">
        <f t="shared" si="16"/>
        <v>-0.91985293994865036</v>
      </c>
      <c r="AX9" s="69">
        <f t="shared" si="28"/>
        <v>-3.063917485085613</v>
      </c>
      <c r="AY9" s="73">
        <f t="shared" si="29"/>
        <v>0.92116972543236864</v>
      </c>
      <c r="AZ9" s="527"/>
      <c r="BA9" s="58">
        <f t="shared" si="30"/>
        <v>0.61561879576189715</v>
      </c>
      <c r="BB9" s="57">
        <f t="shared" si="31"/>
        <v>0.68524970730224832</v>
      </c>
      <c r="BC9" s="53">
        <f t="shared" si="32"/>
        <v>-123.03864069524059</v>
      </c>
      <c r="BD9" s="55">
        <f t="shared" si="33"/>
        <v>110.53620163543592</v>
      </c>
      <c r="BE9" s="2"/>
      <c r="BF9" s="54">
        <f t="shared" si="34"/>
        <v>-123.03864069524059</v>
      </c>
      <c r="BG9" s="53">
        <f t="shared" si="34"/>
        <v>110.53620163543592</v>
      </c>
      <c r="BH9" s="57">
        <f t="shared" si="35"/>
        <v>0.39810915652067835</v>
      </c>
      <c r="BI9" s="129">
        <f t="shared" si="36"/>
        <v>0.44313816416620955</v>
      </c>
      <c r="BJ9" s="66" t="str">
        <f t="shared" si="17"/>
        <v>no</v>
      </c>
      <c r="BK9" s="2"/>
      <c r="BL9" s="70">
        <f t="shared" si="37"/>
        <v>165.39878771055808</v>
      </c>
      <c r="BM9" s="528">
        <f t="shared" si="38"/>
        <v>41.936082514914382</v>
      </c>
      <c r="BN9" s="121"/>
      <c r="BO9" s="577">
        <f t="shared" si="39"/>
        <v>0.24127827667919902</v>
      </c>
      <c r="BP9" s="578">
        <f t="shared" si="40"/>
        <v>0.23237449615427874</v>
      </c>
      <c r="BR9" s="507" t="str">
        <f t="shared" si="41"/>
        <v>NO-OK</v>
      </c>
      <c r="BS9" s="512" t="str">
        <f t="shared" si="42"/>
        <v>NO-OK</v>
      </c>
    </row>
    <row r="10" spans="1:71" ht="20.100000000000001" customHeight="1" x14ac:dyDescent="0.25">
      <c r="A10" s="200" t="s">
        <v>215</v>
      </c>
      <c r="B10" s="201">
        <f>+IF(G10&lt;0,+G10-B5,0)</f>
        <v>-99.541499999999985</v>
      </c>
      <c r="C10" s="202">
        <f>+'Input Page'!E49</f>
        <v>-0.30069930069930073</v>
      </c>
      <c r="D10" s="202">
        <f>+'Input Page'!F49</f>
        <v>3.4671328671328676</v>
      </c>
      <c r="E10" s="203">
        <f t="shared" ref="E10:E15" si="44">+B10*D10*-1</f>
        <v>345.1236062937063</v>
      </c>
      <c r="F10" s="204">
        <f t="shared" ref="F10:F15" si="45">+B10*C10</f>
        <v>29.932059440559438</v>
      </c>
      <c r="G10" s="683">
        <v>-29.4</v>
      </c>
      <c r="H10" s="206">
        <f>+'Input Page'!D49</f>
        <v>-29.4</v>
      </c>
      <c r="I10" s="858" t="s">
        <v>158</v>
      </c>
      <c r="J10" s="863" t="s">
        <v>29</v>
      </c>
      <c r="K10" s="176"/>
      <c r="L10" s="413">
        <f>+IF('Input Page'!$G$68="YES",Penetrating!L9+15,0)</f>
        <v>60</v>
      </c>
      <c r="M10" s="9">
        <f t="shared" si="0"/>
        <v>51.998838864334409</v>
      </c>
      <c r="N10" s="9">
        <f t="shared" si="1"/>
        <v>54.807403037658837</v>
      </c>
      <c r="O10" s="9">
        <f t="shared" si="2"/>
        <v>17.72394867067073</v>
      </c>
      <c r="P10" s="9">
        <f t="shared" si="3"/>
        <v>102.36166948084306</v>
      </c>
      <c r="Q10" s="10">
        <f t="shared" si="4"/>
        <v>33.102334268165002</v>
      </c>
      <c r="R10" s="11">
        <f t="shared" si="18"/>
        <v>0.32500036564521473</v>
      </c>
      <c r="S10" s="12">
        <f t="shared" si="19"/>
        <v>3.8140000000000001</v>
      </c>
      <c r="T10" s="13">
        <f t="shared" si="20"/>
        <v>3.1639992687095706</v>
      </c>
      <c r="U10" s="14">
        <f t="shared" si="21"/>
        <v>81.646622900364193</v>
      </c>
      <c r="W10" s="549" t="str">
        <f t="shared" si="22"/>
        <v>Max @ Front</v>
      </c>
      <c r="X10" s="76">
        <f t="shared" si="23"/>
        <v>25.413141469417866</v>
      </c>
      <c r="Y10" s="76">
        <f t="shared" si="24"/>
        <v>78.584536259250953</v>
      </c>
      <c r="Z10" s="2"/>
      <c r="AA10" s="89">
        <f t="shared" si="5"/>
        <v>96.822101395449138</v>
      </c>
      <c r="AB10" s="90">
        <f t="shared" si="25"/>
        <v>0.32500036564521473</v>
      </c>
      <c r="AC10" s="91">
        <f t="shared" si="6"/>
        <v>3.8140000000000001</v>
      </c>
      <c r="AD10" s="92">
        <f t="shared" si="7"/>
        <v>3.1639992687095706</v>
      </c>
      <c r="AE10" s="43">
        <f t="shared" si="8"/>
        <v>43.715967028082424</v>
      </c>
      <c r="AF10" s="2"/>
      <c r="AG10" s="89">
        <f t="shared" si="9"/>
        <v>180.8308986045509</v>
      </c>
      <c r="AH10" s="90">
        <f t="shared" si="26"/>
        <v>0.32500036564521473</v>
      </c>
      <c r="AI10" s="91">
        <f t="shared" si="10"/>
        <v>3.8140000000000001</v>
      </c>
      <c r="AJ10" s="92">
        <f t="shared" si="11"/>
        <v>3.1639992687095706</v>
      </c>
      <c r="AK10" s="550">
        <f t="shared" si="12"/>
        <v>81.646622900364193</v>
      </c>
      <c r="AL10" s="42"/>
      <c r="AM10" s="525">
        <f t="shared" si="13"/>
        <v>60</v>
      </c>
      <c r="AN10" s="526"/>
      <c r="AO10" s="54">
        <f t="shared" si="43"/>
        <v>98.1</v>
      </c>
      <c r="AP10" s="75">
        <f t="shared" si="27"/>
        <v>0</v>
      </c>
      <c r="AQ10" s="75">
        <f t="shared" si="27"/>
        <v>0</v>
      </c>
      <c r="AR10" s="53">
        <f t="shared" si="27"/>
        <v>0</v>
      </c>
      <c r="AS10" s="55">
        <f t="shared" si="27"/>
        <v>0</v>
      </c>
      <c r="AT10" s="2"/>
      <c r="AU10" s="51">
        <f t="shared" si="14"/>
        <v>179.553</v>
      </c>
      <c r="AV10" s="50">
        <f t="shared" si="15"/>
        <v>4.9236489730382887E-2</v>
      </c>
      <c r="AW10" s="50">
        <f t="shared" si="16"/>
        <v>-0.91985293994865036</v>
      </c>
      <c r="AX10" s="69">
        <f t="shared" si="28"/>
        <v>-3.063917485085613</v>
      </c>
      <c r="AY10" s="73">
        <f t="shared" si="29"/>
        <v>0.92116972543236864</v>
      </c>
      <c r="AZ10" s="527"/>
      <c r="BA10" s="58">
        <f t="shared" si="30"/>
        <v>0.77199776887614147</v>
      </c>
      <c r="BB10" s="57">
        <f t="shared" si="31"/>
        <v>0.50256652087400833</v>
      </c>
      <c r="BC10" s="53">
        <f t="shared" si="32"/>
        <v>-90.237326522490818</v>
      </c>
      <c r="BD10" s="55">
        <f t="shared" si="33"/>
        <v>138.61451539501783</v>
      </c>
      <c r="BE10" s="2"/>
      <c r="BF10" s="54">
        <f t="shared" si="34"/>
        <v>-90.237326522490818</v>
      </c>
      <c r="BG10" s="53">
        <f t="shared" si="34"/>
        <v>138.61451539501783</v>
      </c>
      <c r="BH10" s="57">
        <f t="shared" si="35"/>
        <v>0.49923651246346273</v>
      </c>
      <c r="BI10" s="129">
        <f t="shared" si="36"/>
        <v>0.32500036564521473</v>
      </c>
      <c r="BJ10" s="66" t="str">
        <f t="shared" si="17"/>
        <v>no</v>
      </c>
      <c r="BK10" s="2"/>
      <c r="BL10" s="70">
        <f t="shared" si="37"/>
        <v>165.39878771055808</v>
      </c>
      <c r="BM10" s="528">
        <f t="shared" si="38"/>
        <v>56.936082514914389</v>
      </c>
      <c r="BN10" s="121"/>
      <c r="BO10" s="577">
        <f t="shared" si="39"/>
        <v>0.30256758331118955</v>
      </c>
      <c r="BP10" s="578">
        <f t="shared" si="40"/>
        <v>0.1704249426561168</v>
      </c>
      <c r="BR10" s="507" t="str">
        <f t="shared" si="41"/>
        <v>NO-OK</v>
      </c>
      <c r="BS10" s="512" t="str">
        <f t="shared" si="42"/>
        <v>NO-OK</v>
      </c>
    </row>
    <row r="11" spans="1:71" ht="20.100000000000001" customHeight="1" thickBot="1" x14ac:dyDescent="0.3">
      <c r="A11" s="207" t="s">
        <v>93</v>
      </c>
      <c r="B11" s="208">
        <f t="shared" ref="B11:B15" si="46">+G11</f>
        <v>0</v>
      </c>
      <c r="C11" s="209">
        <f>+'Input Page'!E50</f>
        <v>0</v>
      </c>
      <c r="D11" s="209">
        <f>+'Input Page'!F50</f>
        <v>4</v>
      </c>
      <c r="E11" s="210">
        <f t="shared" si="44"/>
        <v>0</v>
      </c>
      <c r="F11" s="211">
        <f t="shared" si="45"/>
        <v>0</v>
      </c>
      <c r="G11" s="685">
        <v>0</v>
      </c>
      <c r="H11" s="213">
        <f>+'Input Page'!D50</f>
        <v>10</v>
      </c>
      <c r="I11" s="859"/>
      <c r="J11" s="864"/>
      <c r="K11" s="176"/>
      <c r="L11" s="413">
        <f>+IF('Input Page'!$G$68="YES",Penetrating!L10+15,0)</f>
        <v>75</v>
      </c>
      <c r="M11" s="9">
        <f t="shared" si="0"/>
        <v>51.998838864334409</v>
      </c>
      <c r="N11" s="9">
        <f t="shared" si="1"/>
        <v>44.074582435207439</v>
      </c>
      <c r="O11" s="9">
        <f t="shared" si="2"/>
        <v>24.227201831518535</v>
      </c>
      <c r="P11" s="9">
        <f t="shared" si="3"/>
        <v>90.143118297841539</v>
      </c>
      <c r="Q11" s="10">
        <f t="shared" si="4"/>
        <v>49.550452892770103</v>
      </c>
      <c r="R11" s="11">
        <f t="shared" si="18"/>
        <v>0.18471432929399723</v>
      </c>
      <c r="S11" s="12">
        <f t="shared" si="19"/>
        <v>3.8140000000000001</v>
      </c>
      <c r="T11" s="13">
        <f t="shared" si="20"/>
        <v>3.4445713414120056</v>
      </c>
      <c r="U11" s="14">
        <f t="shared" si="21"/>
        <v>77.337820546139412</v>
      </c>
      <c r="W11" s="549" t="str">
        <f t="shared" si="22"/>
        <v>Max @ Front</v>
      </c>
      <c r="X11" s="76">
        <f t="shared" si="23"/>
        <v>36.888827362144319</v>
      </c>
      <c r="Y11" s="76">
        <f t="shared" si="24"/>
        <v>67.108850366524493</v>
      </c>
      <c r="Z11" s="2"/>
      <c r="AA11" s="89">
        <f t="shared" si="5"/>
        <v>91.176051817652507</v>
      </c>
      <c r="AB11" s="90">
        <f t="shared" si="25"/>
        <v>0.18471432929399723</v>
      </c>
      <c r="AC11" s="91">
        <f t="shared" si="6"/>
        <v>3.8140000000000001</v>
      </c>
      <c r="AD11" s="92">
        <f t="shared" si="7"/>
        <v>3.4445713414120056</v>
      </c>
      <c r="AE11" s="43">
        <f t="shared" si="8"/>
        <v>37.813559275347593</v>
      </c>
      <c r="AF11" s="2"/>
      <c r="AG11" s="89">
        <f t="shared" si="9"/>
        <v>186.47694818234751</v>
      </c>
      <c r="AH11" s="90">
        <f t="shared" si="26"/>
        <v>0.18471432929399723</v>
      </c>
      <c r="AI11" s="91">
        <f t="shared" si="10"/>
        <v>3.8140000000000001</v>
      </c>
      <c r="AJ11" s="92">
        <f t="shared" si="11"/>
        <v>3.4445713414120056</v>
      </c>
      <c r="AK11" s="550">
        <f t="shared" si="12"/>
        <v>77.337820546139412</v>
      </c>
      <c r="AL11" s="42"/>
      <c r="AM11" s="525">
        <f t="shared" si="13"/>
        <v>75</v>
      </c>
      <c r="AN11" s="526"/>
      <c r="AO11" s="54">
        <f t="shared" si="43"/>
        <v>98.1</v>
      </c>
      <c r="AP11" s="75">
        <f t="shared" si="27"/>
        <v>0</v>
      </c>
      <c r="AQ11" s="75">
        <f t="shared" si="27"/>
        <v>0</v>
      </c>
      <c r="AR11" s="53">
        <f t="shared" si="27"/>
        <v>0</v>
      </c>
      <c r="AS11" s="55">
        <f t="shared" si="27"/>
        <v>0</v>
      </c>
      <c r="AT11" s="2"/>
      <c r="AU11" s="51">
        <f t="shared" si="14"/>
        <v>179.553</v>
      </c>
      <c r="AV11" s="50">
        <f t="shared" si="15"/>
        <v>4.9236489730382887E-2</v>
      </c>
      <c r="AW11" s="50">
        <f t="shared" si="16"/>
        <v>-0.91985293994865036</v>
      </c>
      <c r="AX11" s="69">
        <f t="shared" si="28"/>
        <v>-3.063917485085613</v>
      </c>
      <c r="AY11" s="73">
        <f t="shared" si="29"/>
        <v>0.92116972543236864</v>
      </c>
      <c r="AZ11" s="527"/>
      <c r="BA11" s="58">
        <f t="shared" si="30"/>
        <v>0.87576636982811096</v>
      </c>
      <c r="BB11" s="57">
        <f t="shared" si="31"/>
        <v>0.28563425657864933</v>
      </c>
      <c r="BC11" s="53">
        <f t="shared" si="32"/>
        <v>-51.286487671466219</v>
      </c>
      <c r="BD11" s="55">
        <f t="shared" si="33"/>
        <v>157.24647900174679</v>
      </c>
      <c r="BE11" s="2"/>
      <c r="BF11" s="54">
        <f t="shared" si="34"/>
        <v>-51.286487671466219</v>
      </c>
      <c r="BG11" s="53">
        <f t="shared" si="34"/>
        <v>157.24647900174679</v>
      </c>
      <c r="BH11" s="57">
        <f t="shared" si="35"/>
        <v>0.56634172510920744</v>
      </c>
      <c r="BI11" s="129">
        <f t="shared" si="36"/>
        <v>0.18471432929399723</v>
      </c>
      <c r="BJ11" s="66" t="str">
        <f t="shared" si="17"/>
        <v>no</v>
      </c>
      <c r="BK11" s="2"/>
      <c r="BL11" s="70">
        <f t="shared" si="37"/>
        <v>165.39878771055805</v>
      </c>
      <c r="BM11" s="528">
        <f t="shared" si="38"/>
        <v>71.936082514914389</v>
      </c>
      <c r="BN11" s="121"/>
      <c r="BO11" s="577">
        <f t="shared" si="39"/>
        <v>0.34323740915709544</v>
      </c>
      <c r="BP11" s="578">
        <f t="shared" si="40"/>
        <v>9.686121095647468E-2</v>
      </c>
      <c r="BR11" s="507" t="str">
        <f t="shared" si="41"/>
        <v>NO-OK</v>
      </c>
      <c r="BS11" s="512" t="str">
        <f t="shared" si="42"/>
        <v>NO-OK</v>
      </c>
    </row>
    <row r="12" spans="1:71" ht="20.100000000000001" customHeight="1" x14ac:dyDescent="0.25">
      <c r="A12" s="214" t="s">
        <v>74</v>
      </c>
      <c r="B12" s="215">
        <f t="shared" si="46"/>
        <v>0</v>
      </c>
      <c r="C12" s="216">
        <f>+'Input Page'!E41</f>
        <v>0</v>
      </c>
      <c r="D12" s="216">
        <f>+'Input Page'!F41</f>
        <v>2.74</v>
      </c>
      <c r="E12" s="217">
        <f t="shared" si="44"/>
        <v>0</v>
      </c>
      <c r="F12" s="218">
        <f t="shared" si="45"/>
        <v>0</v>
      </c>
      <c r="G12" s="219">
        <v>0</v>
      </c>
      <c r="H12" s="220">
        <f>+'Input Page'!D41</f>
        <v>-450</v>
      </c>
      <c r="I12" s="221">
        <f>+IF(J12=0,-1E-24,G12/J12*-1)</f>
        <v>0</v>
      </c>
      <c r="J12" s="222">
        <f>+'Input Page'!C41</f>
        <v>1.5</v>
      </c>
      <c r="K12" s="176"/>
      <c r="L12" s="413">
        <f>+IF('Input Page'!$G$68="YES",Penetrating!L11+15,0)</f>
        <v>90</v>
      </c>
      <c r="M12" s="9">
        <f t="shared" si="0"/>
        <v>51.998838864334409</v>
      </c>
      <c r="N12" s="9">
        <f t="shared" si="1"/>
        <v>34.918018171266588</v>
      </c>
      <c r="O12" s="9">
        <f t="shared" si="2"/>
        <v>31.586814803034059</v>
      </c>
      <c r="P12" s="9">
        <f t="shared" si="3"/>
        <v>74.288866149530293</v>
      </c>
      <c r="Q12" s="10">
        <f t="shared" si="4"/>
        <v>67.201656333506691</v>
      </c>
      <c r="R12" s="11">
        <f t="shared" si="18"/>
        <v>3.1840316656255974E-2</v>
      </c>
      <c r="S12" s="12">
        <f t="shared" si="19"/>
        <v>3.8140000000000001</v>
      </c>
      <c r="T12" s="13">
        <f t="shared" si="20"/>
        <v>3.7503193666874881</v>
      </c>
      <c r="U12" s="14">
        <f t="shared" si="21"/>
        <v>71.946519747590244</v>
      </c>
      <c r="V12" s="46"/>
      <c r="W12" s="549" t="str">
        <f t="shared" si="22"/>
        <v>Max @ Front</v>
      </c>
      <c r="X12" s="76">
        <f t="shared" si="23"/>
        <v>49.394235568270375</v>
      </c>
      <c r="Y12" s="76">
        <f t="shared" si="24"/>
        <v>54.603442160398437</v>
      </c>
      <c r="Z12" s="2"/>
      <c r="AA12" s="89">
        <f t="shared" si="5"/>
        <v>88.777301537393939</v>
      </c>
      <c r="AB12" s="90">
        <f t="shared" si="25"/>
        <v>3.1840316656255974E-2</v>
      </c>
      <c r="AC12" s="91">
        <f t="shared" si="6"/>
        <v>3.8140000000000001</v>
      </c>
      <c r="AD12" s="92">
        <f t="shared" si="7"/>
        <v>3.7503193666874881</v>
      </c>
      <c r="AE12" s="43">
        <f t="shared" si="8"/>
        <v>33.817044385212107</v>
      </c>
      <c r="AF12" s="2"/>
      <c r="AG12" s="89">
        <f t="shared" si="9"/>
        <v>188.87569846260607</v>
      </c>
      <c r="AH12" s="90">
        <f t="shared" si="26"/>
        <v>3.1840316656255974E-2</v>
      </c>
      <c r="AI12" s="91">
        <f t="shared" si="10"/>
        <v>3.8140000000000001</v>
      </c>
      <c r="AJ12" s="92">
        <f t="shared" si="11"/>
        <v>3.7503193666874881</v>
      </c>
      <c r="AK12" s="550">
        <f t="shared" si="12"/>
        <v>71.946519747590244</v>
      </c>
      <c r="AL12" s="42"/>
      <c r="AM12" s="521">
        <f t="shared" si="13"/>
        <v>90</v>
      </c>
      <c r="AN12" s="522"/>
      <c r="AO12" s="60">
        <f t="shared" si="43"/>
        <v>98.1</v>
      </c>
      <c r="AP12" s="74">
        <f t="shared" si="27"/>
        <v>0</v>
      </c>
      <c r="AQ12" s="74">
        <f t="shared" si="27"/>
        <v>0</v>
      </c>
      <c r="AR12" s="61">
        <f t="shared" si="27"/>
        <v>0</v>
      </c>
      <c r="AS12" s="62">
        <f t="shared" si="27"/>
        <v>0</v>
      </c>
      <c r="AT12" s="67"/>
      <c r="AU12" s="63">
        <f t="shared" si="14"/>
        <v>179.553</v>
      </c>
      <c r="AV12" s="64">
        <f t="shared" si="15"/>
        <v>4.9236489730382887E-2</v>
      </c>
      <c r="AW12" s="64">
        <f t="shared" si="16"/>
        <v>-0.91985293994865036</v>
      </c>
      <c r="AX12" s="68">
        <f t="shared" si="28"/>
        <v>-3.063917485085613</v>
      </c>
      <c r="AY12" s="72">
        <f t="shared" si="29"/>
        <v>0.92116972543236864</v>
      </c>
      <c r="AZ12" s="523"/>
      <c r="BA12" s="65">
        <f t="shared" si="30"/>
        <v>0.91985293994865036</v>
      </c>
      <c r="BB12" s="66">
        <f t="shared" si="31"/>
        <v>4.9236489730382901E-2</v>
      </c>
      <c r="BC12" s="61">
        <f t="shared" si="32"/>
        <v>-8.8405594405594403</v>
      </c>
      <c r="BD12" s="62">
        <f t="shared" si="33"/>
        <v>165.16235492660002</v>
      </c>
      <c r="BE12" s="67"/>
      <c r="BF12" s="60">
        <f t="shared" si="34"/>
        <v>-8.8405594405594403</v>
      </c>
      <c r="BG12" s="61">
        <f t="shared" si="34"/>
        <v>165.16235492660002</v>
      </c>
      <c r="BH12" s="66">
        <f t="shared" si="35"/>
        <v>0.59485168511271269</v>
      </c>
      <c r="BI12" s="128">
        <f t="shared" si="36"/>
        <v>3.1840316656255974E-2</v>
      </c>
      <c r="BJ12" s="66" t="str">
        <f t="shared" si="17"/>
        <v>no</v>
      </c>
      <c r="BK12" s="2"/>
      <c r="BL12" s="71">
        <f t="shared" si="37"/>
        <v>165.39878771055808</v>
      </c>
      <c r="BM12" s="524">
        <f t="shared" si="38"/>
        <v>86.936082514914389</v>
      </c>
      <c r="BN12" s="120"/>
      <c r="BO12" s="577">
        <f t="shared" si="39"/>
        <v>0.36051617279558346</v>
      </c>
      <c r="BP12" s="578">
        <f t="shared" si="40"/>
        <v>1.6696547800868367E-2</v>
      </c>
      <c r="BR12" s="507" t="str">
        <f t="shared" si="41"/>
        <v>NO-OK</v>
      </c>
      <c r="BS12" s="512" t="str">
        <f t="shared" si="42"/>
        <v>NO-OK</v>
      </c>
    </row>
    <row r="13" spans="1:71" ht="20.100000000000001" customHeight="1" x14ac:dyDescent="0.25">
      <c r="A13" s="223" t="s">
        <v>75</v>
      </c>
      <c r="B13" s="224">
        <f t="shared" si="46"/>
        <v>0</v>
      </c>
      <c r="C13" s="225">
        <f>+'Input Page'!E42</f>
        <v>0</v>
      </c>
      <c r="D13" s="225">
        <f>+'Input Page'!F42</f>
        <v>0</v>
      </c>
      <c r="E13" s="226">
        <f t="shared" si="44"/>
        <v>0</v>
      </c>
      <c r="F13" s="227">
        <f t="shared" si="45"/>
        <v>0</v>
      </c>
      <c r="G13" s="205">
        <v>0</v>
      </c>
      <c r="H13" s="206">
        <f>+'Input Page'!D42</f>
        <v>0</v>
      </c>
      <c r="I13" s="221">
        <f t="shared" ref="I13:I15" si="47">+IF(J13=0,-1E-24,G13/J13*-1)</f>
        <v>-9.9999999999999992E-25</v>
      </c>
      <c r="J13" s="222">
        <f>+'Input Page'!C42</f>
        <v>0</v>
      </c>
      <c r="K13" s="176"/>
      <c r="L13" s="413">
        <f>+IF('Input Page'!$G$68="YES",Penetrating!L12+15,0)</f>
        <v>105</v>
      </c>
      <c r="M13" s="9">
        <f t="shared" si="0"/>
        <v>51.998838864334409</v>
      </c>
      <c r="N13" s="9">
        <f t="shared" si="1"/>
        <v>40.149860166330306</v>
      </c>
      <c r="O13" s="9">
        <f t="shared" si="2"/>
        <v>27.113096925699711</v>
      </c>
      <c r="P13" s="9">
        <f t="shared" si="3"/>
        <v>84.004426203095178</v>
      </c>
      <c r="Q13" s="10">
        <f t="shared" si="4"/>
        <v>56.727972162212446</v>
      </c>
      <c r="R13" s="11">
        <f t="shared" si="18"/>
        <v>-0.12320356094299795</v>
      </c>
      <c r="S13" s="12">
        <f t="shared" si="19"/>
        <v>3.8140000000000001</v>
      </c>
      <c r="T13" s="13">
        <f t="shared" si="20"/>
        <v>3.5675928781140041</v>
      </c>
      <c r="U13" s="84">
        <f t="shared" si="21"/>
        <v>75.226263996949683</v>
      </c>
      <c r="W13" s="549" t="str">
        <f t="shared" si="22"/>
        <v>Max @ Rear</v>
      </c>
      <c r="X13" s="76">
        <f t="shared" si="23"/>
        <v>41.92053454395608</v>
      </c>
      <c r="Y13" s="76">
        <f t="shared" si="24"/>
        <v>62.077143184712739</v>
      </c>
      <c r="Z13" s="2"/>
      <c r="AA13" s="89">
        <f t="shared" si="5"/>
        <v>89.789321422150863</v>
      </c>
      <c r="AB13" s="90">
        <f t="shared" si="25"/>
        <v>-0.12320356094299795</v>
      </c>
      <c r="AC13" s="91">
        <f t="shared" si="6"/>
        <v>3.8140000000000001</v>
      </c>
      <c r="AD13" s="92">
        <f t="shared" si="7"/>
        <v>3.5675928781140041</v>
      </c>
      <c r="AE13" s="43">
        <f t="shared" si="8"/>
        <v>35.954343322467608</v>
      </c>
      <c r="AF13" s="2"/>
      <c r="AG13" s="89">
        <f t="shared" si="9"/>
        <v>187.86367857784916</v>
      </c>
      <c r="AH13" s="90">
        <f t="shared" si="26"/>
        <v>-0.12320356094299795</v>
      </c>
      <c r="AI13" s="91">
        <f t="shared" si="10"/>
        <v>3.8140000000000001</v>
      </c>
      <c r="AJ13" s="92">
        <f t="shared" si="11"/>
        <v>3.5675928781140041</v>
      </c>
      <c r="AK13" s="550">
        <f t="shared" si="12"/>
        <v>75.226263996949683</v>
      </c>
      <c r="AL13" s="42"/>
      <c r="AM13" s="525">
        <f t="shared" si="13"/>
        <v>105</v>
      </c>
      <c r="AN13" s="526"/>
      <c r="AO13" s="54">
        <f t="shared" si="43"/>
        <v>98.1</v>
      </c>
      <c r="AP13" s="75">
        <f t="shared" si="27"/>
        <v>0</v>
      </c>
      <c r="AQ13" s="75">
        <f t="shared" si="27"/>
        <v>0</v>
      </c>
      <c r="AR13" s="53">
        <f t="shared" si="27"/>
        <v>0</v>
      </c>
      <c r="AS13" s="55">
        <f t="shared" si="27"/>
        <v>0</v>
      </c>
      <c r="AT13" s="2"/>
      <c r="AU13" s="51">
        <f t="shared" si="14"/>
        <v>179.553</v>
      </c>
      <c r="AV13" s="50">
        <f t="shared" si="15"/>
        <v>4.9236489730382887E-2</v>
      </c>
      <c r="AW13" s="50">
        <f t="shared" si="16"/>
        <v>-0.91985293994865036</v>
      </c>
      <c r="AX13" s="69">
        <f t="shared" si="28"/>
        <v>-3.063917485085613</v>
      </c>
      <c r="AY13" s="73">
        <f t="shared" si="29"/>
        <v>0.92116972543236864</v>
      </c>
      <c r="AZ13" s="527"/>
      <c r="BA13" s="58">
        <f t="shared" si="30"/>
        <v>0.90125305234054653</v>
      </c>
      <c r="BB13" s="57">
        <f t="shared" si="31"/>
        <v>-0.19051666252586263</v>
      </c>
      <c r="BC13" s="53">
        <f t="shared" si="32"/>
        <v>34.207838306506211</v>
      </c>
      <c r="BD13" s="55">
        <f t="shared" si="33"/>
        <v>161.82268930690216</v>
      </c>
      <c r="BE13" s="2"/>
      <c r="BF13" s="54">
        <f t="shared" si="34"/>
        <v>34.207838306506211</v>
      </c>
      <c r="BG13" s="53">
        <f t="shared" si="34"/>
        <v>161.82268930690216</v>
      </c>
      <c r="BH13" s="57">
        <f t="shared" si="35"/>
        <v>0.58282348581467569</v>
      </c>
      <c r="BI13" s="129">
        <f t="shared" si="36"/>
        <v>-0.12320356094299795</v>
      </c>
      <c r="BJ13" s="66" t="str">
        <f t="shared" si="17"/>
        <v>no</v>
      </c>
      <c r="BK13" s="2"/>
      <c r="BL13" s="70">
        <f t="shared" si="37"/>
        <v>165.39878771055808</v>
      </c>
      <c r="BM13" s="528">
        <f t="shared" si="38"/>
        <v>-78.063917485085625</v>
      </c>
      <c r="BN13" s="121"/>
      <c r="BO13" s="577">
        <f t="shared" si="39"/>
        <v>0.35322635503919741</v>
      </c>
      <c r="BP13" s="578">
        <f t="shared" si="40"/>
        <v>6.4605957495017283E-2</v>
      </c>
      <c r="BR13" s="507" t="str">
        <f t="shared" si="41"/>
        <v>NO-OK</v>
      </c>
      <c r="BS13" s="512" t="str">
        <f t="shared" si="42"/>
        <v>NO-OK</v>
      </c>
    </row>
    <row r="14" spans="1:71" ht="20.100000000000001" customHeight="1" x14ac:dyDescent="0.25">
      <c r="A14" s="228" t="s">
        <v>77</v>
      </c>
      <c r="B14" s="224">
        <f t="shared" si="46"/>
        <v>0</v>
      </c>
      <c r="C14" s="225">
        <f>+'Input Page'!E43</f>
        <v>0</v>
      </c>
      <c r="D14" s="225">
        <f>+'Input Page'!F43</f>
        <v>0</v>
      </c>
      <c r="E14" s="226">
        <f t="shared" si="44"/>
        <v>0</v>
      </c>
      <c r="F14" s="227">
        <f t="shared" si="45"/>
        <v>0</v>
      </c>
      <c r="G14" s="205">
        <v>0</v>
      </c>
      <c r="H14" s="206">
        <f>+'Input Page'!D43</f>
        <v>0</v>
      </c>
      <c r="I14" s="221">
        <f t="shared" si="47"/>
        <v>-9.9999999999999992E-25</v>
      </c>
      <c r="J14" s="222">
        <f>+'Input Page'!C43</f>
        <v>0</v>
      </c>
      <c r="K14" s="176"/>
      <c r="L14" s="413">
        <f>+IF('Input Page'!$G$68="YES",Penetrating!L13+15,0)</f>
        <v>120</v>
      </c>
      <c r="M14" s="9">
        <f t="shared" si="0"/>
        <v>51.998838864334409</v>
      </c>
      <c r="N14" s="9">
        <f t="shared" si="1"/>
        <v>50.231669410172614</v>
      </c>
      <c r="O14" s="9">
        <f t="shared" si="2"/>
        <v>20.292822303977513</v>
      </c>
      <c r="P14" s="9">
        <f t="shared" si="3"/>
        <v>97.914792623640736</v>
      </c>
      <c r="Q14" s="10">
        <f t="shared" si="4"/>
        <v>39.556071119546758</v>
      </c>
      <c r="R14" s="11">
        <f t="shared" si="18"/>
        <v>-0.26985131946749774</v>
      </c>
      <c r="S14" s="12">
        <f t="shared" si="19"/>
        <v>3.8140000000000001</v>
      </c>
      <c r="T14" s="13">
        <f t="shared" si="20"/>
        <v>3.2742973610650044</v>
      </c>
      <c r="U14" s="14">
        <f t="shared" si="21"/>
        <v>80.065097408559396</v>
      </c>
      <c r="W14" s="549" t="str">
        <f t="shared" si="22"/>
        <v>Max @ Rear</v>
      </c>
      <c r="X14" s="76">
        <f t="shared" si="23"/>
        <v>29.924446711762137</v>
      </c>
      <c r="Y14" s="76">
        <f t="shared" si="24"/>
        <v>74.073231016906675</v>
      </c>
      <c r="Z14" s="2"/>
      <c r="AA14" s="89">
        <f t="shared" si="5"/>
        <v>94.143143989219013</v>
      </c>
      <c r="AB14" s="90">
        <f t="shared" si="25"/>
        <v>-0.26985131946749774</v>
      </c>
      <c r="AC14" s="91">
        <f t="shared" si="6"/>
        <v>3.8140000000000001</v>
      </c>
      <c r="AD14" s="92">
        <f t="shared" si="7"/>
        <v>3.2742973610650044</v>
      </c>
      <c r="AE14" s="43">
        <f t="shared" si="8"/>
        <v>41.074524048463253</v>
      </c>
      <c r="AF14" s="2"/>
      <c r="AG14" s="89">
        <f t="shared" si="9"/>
        <v>183.50985601078099</v>
      </c>
      <c r="AH14" s="90">
        <f t="shared" si="26"/>
        <v>-0.26985131946749774</v>
      </c>
      <c r="AI14" s="91">
        <f t="shared" si="10"/>
        <v>3.8140000000000001</v>
      </c>
      <c r="AJ14" s="92">
        <f t="shared" si="11"/>
        <v>3.2742973610650044</v>
      </c>
      <c r="AK14" s="550">
        <f t="shared" si="12"/>
        <v>80.065097408559396</v>
      </c>
      <c r="AL14" s="42"/>
      <c r="AM14" s="525">
        <f t="shared" si="13"/>
        <v>120</v>
      </c>
      <c r="AN14" s="526"/>
      <c r="AO14" s="54">
        <f t="shared" si="43"/>
        <v>98.1</v>
      </c>
      <c r="AP14" s="75">
        <f t="shared" si="27"/>
        <v>0</v>
      </c>
      <c r="AQ14" s="75">
        <f t="shared" si="27"/>
        <v>0</v>
      </c>
      <c r="AR14" s="53">
        <f t="shared" si="27"/>
        <v>0</v>
      </c>
      <c r="AS14" s="55">
        <f t="shared" si="27"/>
        <v>0</v>
      </c>
      <c r="AT14" s="2"/>
      <c r="AU14" s="51">
        <f t="shared" si="14"/>
        <v>179.553</v>
      </c>
      <c r="AV14" s="50">
        <f t="shared" si="15"/>
        <v>4.9236489730382887E-2</v>
      </c>
      <c r="AW14" s="50">
        <f t="shared" si="16"/>
        <v>-0.91985293994865036</v>
      </c>
      <c r="AX14" s="69">
        <f t="shared" si="28"/>
        <v>-3.063917485085613</v>
      </c>
      <c r="AY14" s="73">
        <f t="shared" si="29"/>
        <v>0.92116972543236864</v>
      </c>
      <c r="AZ14" s="527"/>
      <c r="BA14" s="58">
        <f t="shared" si="30"/>
        <v>0.82123425860652444</v>
      </c>
      <c r="BB14" s="57">
        <f t="shared" si="31"/>
        <v>-0.41728641907464181</v>
      </c>
      <c r="BC14" s="53">
        <f t="shared" si="32"/>
        <v>74.925028404109156</v>
      </c>
      <c r="BD14" s="55">
        <f t="shared" si="33"/>
        <v>147.45507483557728</v>
      </c>
      <c r="BE14" s="2"/>
      <c r="BF14" s="54">
        <f t="shared" si="34"/>
        <v>74.925028404109156</v>
      </c>
      <c r="BG14" s="53">
        <f t="shared" si="34"/>
        <v>147.45507483557728</v>
      </c>
      <c r="BH14" s="57">
        <f t="shared" si="35"/>
        <v>0.53107682911971876</v>
      </c>
      <c r="BI14" s="129">
        <f t="shared" si="36"/>
        <v>-0.26985131946749774</v>
      </c>
      <c r="BJ14" s="66" t="str">
        <f t="shared" si="17"/>
        <v>no</v>
      </c>
      <c r="BK14" s="2"/>
      <c r="BL14" s="70">
        <f t="shared" si="37"/>
        <v>165.39878771055808</v>
      </c>
      <c r="BM14" s="528">
        <f t="shared" si="38"/>
        <v>-63.063917485085632</v>
      </c>
      <c r="BN14" s="121"/>
      <c r="BO14" s="577">
        <f t="shared" si="39"/>
        <v>0.32186474492104167</v>
      </c>
      <c r="BP14" s="578">
        <f t="shared" si="40"/>
        <v>0.14150567355401034</v>
      </c>
      <c r="BR14" s="507" t="str">
        <f t="shared" si="41"/>
        <v>NO-OK</v>
      </c>
      <c r="BS14" s="512" t="str">
        <f t="shared" si="42"/>
        <v>NO-OK</v>
      </c>
    </row>
    <row r="15" spans="1:71" ht="20.100000000000001" customHeight="1" thickBot="1" x14ac:dyDescent="0.3">
      <c r="A15" s="229" t="s">
        <v>78</v>
      </c>
      <c r="B15" s="230">
        <f t="shared" si="46"/>
        <v>0</v>
      </c>
      <c r="C15" s="231">
        <f>+'Input Page'!E44</f>
        <v>0</v>
      </c>
      <c r="D15" s="231">
        <f>+'Input Page'!F44</f>
        <v>0</v>
      </c>
      <c r="E15" s="232">
        <f t="shared" si="44"/>
        <v>0</v>
      </c>
      <c r="F15" s="233">
        <f t="shared" si="45"/>
        <v>0</v>
      </c>
      <c r="G15" s="212">
        <v>0</v>
      </c>
      <c r="H15" s="213">
        <f>+'Input Page'!D44</f>
        <v>0</v>
      </c>
      <c r="I15" s="234">
        <f t="shared" si="47"/>
        <v>-9.9999999999999992E-25</v>
      </c>
      <c r="J15" s="235">
        <f>+'Input Page'!C44</f>
        <v>0</v>
      </c>
      <c r="K15" s="176"/>
      <c r="L15" s="413">
        <f>+IF('Input Page'!$G$68="YES",Penetrating!L14+15,0)</f>
        <v>135</v>
      </c>
      <c r="M15" s="9">
        <f t="shared" si="0"/>
        <v>51.998838864334409</v>
      </c>
      <c r="N15" s="9">
        <f t="shared" si="1"/>
        <v>61.853487061869778</v>
      </c>
      <c r="O15" s="9">
        <f t="shared" si="2"/>
        <v>14.213681584234557</v>
      </c>
      <c r="P15" s="9">
        <f t="shared" si="3"/>
        <v>107.2764839452516</v>
      </c>
      <c r="Q15" s="10">
        <f t="shared" si="4"/>
        <v>24.651702865981694</v>
      </c>
      <c r="R15" s="11">
        <f t="shared" si="18"/>
        <v>-0.39810915652067835</v>
      </c>
      <c r="S15" s="12">
        <f t="shared" si="19"/>
        <v>3.8140000000000001</v>
      </c>
      <c r="T15" s="85">
        <f t="shared" si="20"/>
        <v>3.0177816869586431</v>
      </c>
      <c r="U15" s="14">
        <f t="shared" si="21"/>
        <v>83.368208288974799</v>
      </c>
      <c r="W15" s="549" t="str">
        <f t="shared" si="22"/>
        <v>Max @ Rear</v>
      </c>
      <c r="X15" s="76">
        <f t="shared" si="23"/>
        <v>19.432692225108127</v>
      </c>
      <c r="Y15" s="76">
        <f t="shared" si="24"/>
        <v>84.564985503560692</v>
      </c>
      <c r="Z15" s="2"/>
      <c r="AA15" s="89">
        <f t="shared" si="5"/>
        <v>101.54206342568467</v>
      </c>
      <c r="AB15" s="90">
        <f t="shared" si="25"/>
        <v>-0.39810915652067835</v>
      </c>
      <c r="AC15" s="91">
        <f t="shared" si="6"/>
        <v>3.8140000000000001</v>
      </c>
      <c r="AD15" s="92">
        <f t="shared" si="7"/>
        <v>3.0177816869586431</v>
      </c>
      <c r="AE15" s="43">
        <f t="shared" si="8"/>
        <v>48.068450821011602</v>
      </c>
      <c r="AF15" s="2"/>
      <c r="AG15" s="89">
        <f t="shared" si="9"/>
        <v>176.11093657431536</v>
      </c>
      <c r="AH15" s="90">
        <f t="shared" si="26"/>
        <v>-0.39810915652067835</v>
      </c>
      <c r="AI15" s="91">
        <f t="shared" si="10"/>
        <v>3.8140000000000001</v>
      </c>
      <c r="AJ15" s="92">
        <f t="shared" si="11"/>
        <v>3.0177816869586431</v>
      </c>
      <c r="AK15" s="550">
        <f t="shared" si="12"/>
        <v>83.368208288974799</v>
      </c>
      <c r="AL15" s="42"/>
      <c r="AM15" s="525">
        <f t="shared" si="13"/>
        <v>135</v>
      </c>
      <c r="AN15" s="526"/>
      <c r="AO15" s="54">
        <f t="shared" si="43"/>
        <v>98.1</v>
      </c>
      <c r="AP15" s="75">
        <f t="shared" si="27"/>
        <v>0</v>
      </c>
      <c r="AQ15" s="75">
        <f t="shared" si="27"/>
        <v>0</v>
      </c>
      <c r="AR15" s="53">
        <f t="shared" si="27"/>
        <v>0</v>
      </c>
      <c r="AS15" s="55">
        <f t="shared" si="27"/>
        <v>0</v>
      </c>
      <c r="AT15" s="2"/>
      <c r="AU15" s="51">
        <f t="shared" si="14"/>
        <v>179.553</v>
      </c>
      <c r="AV15" s="50">
        <f t="shared" si="15"/>
        <v>4.9236489730382887E-2</v>
      </c>
      <c r="AW15" s="50">
        <f t="shared" si="16"/>
        <v>-0.91985293994865036</v>
      </c>
      <c r="AX15" s="69">
        <f t="shared" si="28"/>
        <v>-3.063917485085613</v>
      </c>
      <c r="AY15" s="73">
        <f t="shared" si="29"/>
        <v>0.92116972543236864</v>
      </c>
      <c r="AZ15" s="527"/>
      <c r="BA15" s="58">
        <f t="shared" si="30"/>
        <v>0.68524970730224832</v>
      </c>
      <c r="BB15" s="57">
        <f t="shared" si="31"/>
        <v>-0.61561879576189715</v>
      </c>
      <c r="BC15" s="53">
        <f t="shared" si="32"/>
        <v>110.53620163543592</v>
      </c>
      <c r="BD15" s="55">
        <f t="shared" si="33"/>
        <v>123.03864069524059</v>
      </c>
      <c r="BE15" s="2"/>
      <c r="BF15" s="54">
        <f t="shared" si="34"/>
        <v>110.53620163543592</v>
      </c>
      <c r="BG15" s="53">
        <f t="shared" si="34"/>
        <v>123.03864069524059</v>
      </c>
      <c r="BH15" s="57">
        <f t="shared" si="35"/>
        <v>0.44313816416620955</v>
      </c>
      <c r="BI15" s="129">
        <f t="shared" si="36"/>
        <v>-0.39810915652067835</v>
      </c>
      <c r="BJ15" s="66" t="str">
        <f t="shared" si="17"/>
        <v>no</v>
      </c>
      <c r="BK15" s="2"/>
      <c r="BL15" s="70">
        <f t="shared" si="37"/>
        <v>165.39878771055808</v>
      </c>
      <c r="BM15" s="528">
        <f t="shared" si="38"/>
        <v>-48.063917485085618</v>
      </c>
      <c r="BN15" s="121"/>
      <c r="BO15" s="577">
        <f t="shared" si="39"/>
        <v>0.26856858434315733</v>
      </c>
      <c r="BP15" s="578">
        <f t="shared" si="40"/>
        <v>0.20876201180947998</v>
      </c>
      <c r="BR15" s="507" t="str">
        <f t="shared" si="41"/>
        <v>NO-OK</v>
      </c>
      <c r="BS15" s="512" t="str">
        <f t="shared" si="42"/>
        <v>NO-OK</v>
      </c>
    </row>
    <row r="16" spans="1:71" ht="20.100000000000001" customHeight="1" thickBot="1" x14ac:dyDescent="0.3">
      <c r="A16" s="689" t="s">
        <v>157</v>
      </c>
      <c r="B16" s="237">
        <f>+SUM(B4:B15)</f>
        <v>179.553</v>
      </c>
      <c r="C16" s="238">
        <f>+F16/B16</f>
        <v>4.9236489730382887E-2</v>
      </c>
      <c r="D16" s="238">
        <f>+E16/B16*-1</f>
        <v>-0.91985293994865036</v>
      </c>
      <c r="E16" s="237">
        <f>+SUM(E4:E15)</f>
        <v>165.16235492660002</v>
      </c>
      <c r="F16" s="239">
        <f>+SUM(F4:F15)</f>
        <v>8.8405594405594385</v>
      </c>
      <c r="G16" s="911" t="s">
        <v>160</v>
      </c>
      <c r="H16" s="912"/>
      <c r="I16" s="240">
        <f>+MAX(I12:I15)</f>
        <v>0</v>
      </c>
      <c r="J16" s="154"/>
      <c r="K16" s="176"/>
      <c r="L16" s="413">
        <f>+IF('Input Page'!$G$68="YES",Penetrating!L15+15,0)</f>
        <v>150</v>
      </c>
      <c r="M16" s="9">
        <f t="shared" si="0"/>
        <v>51.998838864334409</v>
      </c>
      <c r="N16" s="9">
        <f t="shared" si="1"/>
        <v>74.551233646439769</v>
      </c>
      <c r="O16" s="9">
        <f t="shared" si="2"/>
        <v>8.9620299682468794</v>
      </c>
      <c r="P16" s="9">
        <f t="shared" si="3"/>
        <v>111.12358818326693</v>
      </c>
      <c r="Q16" s="10">
        <f t="shared" si="4"/>
        <v>13.358503659384079</v>
      </c>
      <c r="R16" s="11">
        <f t="shared" si="18"/>
        <v>-0.49923651246346257</v>
      </c>
      <c r="S16" s="12">
        <f t="shared" si="19"/>
        <v>3.8140000000000001</v>
      </c>
      <c r="T16" s="13">
        <f t="shared" si="20"/>
        <v>2.8155269750730749</v>
      </c>
      <c r="U16" s="14">
        <f t="shared" si="21"/>
        <v>84.313647585555188</v>
      </c>
      <c r="W16" s="549" t="str">
        <f t="shared" si="22"/>
        <v>Max @ Rear</v>
      </c>
      <c r="X16" s="76">
        <f t="shared" si="23"/>
        <v>11.160266813815479</v>
      </c>
      <c r="Y16" s="76">
        <f t="shared" si="24"/>
        <v>92.837410914853351</v>
      </c>
      <c r="Z16" s="2"/>
      <c r="AA16" s="89">
        <f t="shared" si="5"/>
        <v>111.48185559924519</v>
      </c>
      <c r="AB16" s="90">
        <f t="shared" si="25"/>
        <v>-0.49923651246346257</v>
      </c>
      <c r="AC16" s="91">
        <f t="shared" si="6"/>
        <v>3.8140000000000001</v>
      </c>
      <c r="AD16" s="92">
        <f t="shared" si="7"/>
        <v>2.8155269750730749</v>
      </c>
      <c r="AE16" s="43">
        <f t="shared" si="8"/>
        <v>56.564826095858656</v>
      </c>
      <c r="AF16" s="2"/>
      <c r="AG16" s="89">
        <f t="shared" si="9"/>
        <v>166.17114440075483</v>
      </c>
      <c r="AH16" s="90">
        <f t="shared" si="26"/>
        <v>-0.49923651246346257</v>
      </c>
      <c r="AI16" s="91">
        <f t="shared" si="10"/>
        <v>3.8140000000000001</v>
      </c>
      <c r="AJ16" s="92">
        <f t="shared" si="11"/>
        <v>2.8155269750730749</v>
      </c>
      <c r="AK16" s="550">
        <f t="shared" si="12"/>
        <v>84.313647585555188</v>
      </c>
      <c r="AL16" s="42"/>
      <c r="AM16" s="525">
        <f t="shared" si="13"/>
        <v>150</v>
      </c>
      <c r="AN16" s="526"/>
      <c r="AO16" s="54">
        <f t="shared" si="43"/>
        <v>98.1</v>
      </c>
      <c r="AP16" s="75">
        <f t="shared" si="27"/>
        <v>0</v>
      </c>
      <c r="AQ16" s="75">
        <f t="shared" si="27"/>
        <v>0</v>
      </c>
      <c r="AR16" s="53">
        <f t="shared" si="27"/>
        <v>0</v>
      </c>
      <c r="AS16" s="55">
        <f t="shared" si="27"/>
        <v>0</v>
      </c>
      <c r="AT16" s="2"/>
      <c r="AU16" s="51">
        <f t="shared" si="14"/>
        <v>179.553</v>
      </c>
      <c r="AV16" s="50">
        <f t="shared" si="15"/>
        <v>4.9236489730382887E-2</v>
      </c>
      <c r="AW16" s="50">
        <f t="shared" si="16"/>
        <v>-0.91985293994865036</v>
      </c>
      <c r="AX16" s="69">
        <f t="shared" si="28"/>
        <v>-3.063917485085613</v>
      </c>
      <c r="AY16" s="73">
        <f t="shared" si="29"/>
        <v>0.92116972543236864</v>
      </c>
      <c r="AZ16" s="527"/>
      <c r="BA16" s="58">
        <f t="shared" si="30"/>
        <v>0.50256652087400866</v>
      </c>
      <c r="BB16" s="57">
        <f t="shared" si="31"/>
        <v>-0.77199776887614124</v>
      </c>
      <c r="BC16" s="53">
        <f t="shared" si="32"/>
        <v>138.61451539501778</v>
      </c>
      <c r="BD16" s="55">
        <f t="shared" si="33"/>
        <v>90.237326522490875</v>
      </c>
      <c r="BE16" s="2"/>
      <c r="BF16" s="54">
        <f t="shared" si="34"/>
        <v>138.61451539501778</v>
      </c>
      <c r="BG16" s="53">
        <f t="shared" si="34"/>
        <v>90.237326522490875</v>
      </c>
      <c r="BH16" s="57">
        <f t="shared" si="35"/>
        <v>0.32500036564521495</v>
      </c>
      <c r="BI16" s="129">
        <f t="shared" si="36"/>
        <v>-0.49923651246346257</v>
      </c>
      <c r="BJ16" s="66" t="str">
        <f t="shared" si="17"/>
        <v>no</v>
      </c>
      <c r="BK16" s="2"/>
      <c r="BL16" s="70">
        <f t="shared" si="37"/>
        <v>165.39878771055808</v>
      </c>
      <c r="BM16" s="528">
        <f t="shared" si="38"/>
        <v>-33.063917485085639</v>
      </c>
      <c r="BN16" s="121"/>
      <c r="BO16" s="577">
        <f t="shared" si="39"/>
        <v>0.19696991857285756</v>
      </c>
      <c r="BP16" s="578">
        <f t="shared" si="40"/>
        <v>0.26179156395566994</v>
      </c>
      <c r="BR16" s="507" t="str">
        <f t="shared" si="41"/>
        <v>NO-OK</v>
      </c>
      <c r="BS16" s="512" t="str">
        <f t="shared" si="42"/>
        <v>NO-OK</v>
      </c>
    </row>
    <row r="17" spans="1:71" ht="20.100000000000001" customHeight="1" thickBot="1" x14ac:dyDescent="0.3">
      <c r="A17" s="158"/>
      <c r="B17" s="154"/>
      <c r="C17" s="154"/>
      <c r="D17" s="155"/>
      <c r="E17" s="155"/>
      <c r="F17" s="155"/>
      <c r="G17" s="155"/>
      <c r="H17" s="155"/>
      <c r="I17" s="154"/>
      <c r="J17" s="154"/>
      <c r="K17" s="182"/>
      <c r="L17" s="413">
        <f>+IF('Input Page'!$G$68="YES",Penetrating!L16+15,0)</f>
        <v>165</v>
      </c>
      <c r="M17" s="9">
        <f t="shared" si="0"/>
        <v>51.998838864334409</v>
      </c>
      <c r="N17" s="9">
        <f t="shared" si="1"/>
        <v>87.319263841675351</v>
      </c>
      <c r="O17" s="9">
        <f t="shared" si="2"/>
        <v>5.0360737113665817</v>
      </c>
      <c r="P17" s="9">
        <f t="shared" si="3"/>
        <v>109.33424641799353</v>
      </c>
      <c r="Q17" s="10">
        <f t="shared" si="4"/>
        <v>6.3057714863021763</v>
      </c>
      <c r="R17" s="11">
        <f t="shared" si="18"/>
        <v>-0.56634172510920744</v>
      </c>
      <c r="S17" s="12">
        <f t="shared" si="19"/>
        <v>3.8140000000000001</v>
      </c>
      <c r="T17" s="13">
        <f t="shared" si="20"/>
        <v>2.6813165497815854</v>
      </c>
      <c r="U17" s="14">
        <f t="shared" si="21"/>
        <v>82.245236639983986</v>
      </c>
      <c r="W17" s="549" t="str">
        <f t="shared" si="22"/>
        <v>Max @ Rear</v>
      </c>
      <c r="X17" s="76">
        <f t="shared" si="23"/>
        <v>5.6709225988343794</v>
      </c>
      <c r="Y17" s="76">
        <f t="shared" si="24"/>
        <v>98.326755129834439</v>
      </c>
      <c r="Z17" s="2"/>
      <c r="AA17" s="89">
        <f t="shared" si="5"/>
        <v>123.28514009955569</v>
      </c>
      <c r="AB17" s="90">
        <f t="shared" si="25"/>
        <v>-0.56634172510920744</v>
      </c>
      <c r="AC17" s="91">
        <f t="shared" si="6"/>
        <v>3.8140000000000001</v>
      </c>
      <c r="AD17" s="92">
        <f t="shared" si="7"/>
        <v>2.6813165497815854</v>
      </c>
      <c r="AE17" s="43">
        <f t="shared" si="8"/>
        <v>65.684758007404042</v>
      </c>
      <c r="AF17" s="2"/>
      <c r="AG17" s="89">
        <f t="shared" si="9"/>
        <v>154.36785990044433</v>
      </c>
      <c r="AH17" s="90">
        <f t="shared" si="26"/>
        <v>-0.56634172510920744</v>
      </c>
      <c r="AI17" s="91">
        <f t="shared" si="10"/>
        <v>3.8140000000000001</v>
      </c>
      <c r="AJ17" s="92">
        <f t="shared" si="11"/>
        <v>2.6813165497815854</v>
      </c>
      <c r="AK17" s="550">
        <f t="shared" si="12"/>
        <v>82.245236639983986</v>
      </c>
      <c r="AL17" s="42"/>
      <c r="AM17" s="525">
        <f t="shared" si="13"/>
        <v>165</v>
      </c>
      <c r="AN17" s="526"/>
      <c r="AO17" s="54">
        <f t="shared" si="43"/>
        <v>98.1</v>
      </c>
      <c r="AP17" s="75">
        <f t="shared" si="27"/>
        <v>0</v>
      </c>
      <c r="AQ17" s="75">
        <f t="shared" si="27"/>
        <v>0</v>
      </c>
      <c r="AR17" s="53">
        <f t="shared" si="27"/>
        <v>0</v>
      </c>
      <c r="AS17" s="55">
        <f t="shared" si="27"/>
        <v>0</v>
      </c>
      <c r="AT17" s="2"/>
      <c r="AU17" s="51">
        <f t="shared" si="14"/>
        <v>179.553</v>
      </c>
      <c r="AV17" s="50">
        <f t="shared" si="15"/>
        <v>4.9236489730382887E-2</v>
      </c>
      <c r="AW17" s="50">
        <f t="shared" si="16"/>
        <v>-0.91985293994865036</v>
      </c>
      <c r="AX17" s="69">
        <f t="shared" si="28"/>
        <v>-3.063917485085613</v>
      </c>
      <c r="AY17" s="73">
        <f t="shared" si="29"/>
        <v>0.92116972543236864</v>
      </c>
      <c r="AZ17" s="527"/>
      <c r="BA17" s="58">
        <f t="shared" si="30"/>
        <v>0.28563425657864955</v>
      </c>
      <c r="BB17" s="57">
        <f t="shared" si="31"/>
        <v>-0.87576636982811096</v>
      </c>
      <c r="BC17" s="53">
        <f t="shared" si="32"/>
        <v>157.24647900174679</v>
      </c>
      <c r="BD17" s="55">
        <f t="shared" si="33"/>
        <v>51.286487671466261</v>
      </c>
      <c r="BE17" s="2"/>
      <c r="BF17" s="54">
        <f t="shared" si="34"/>
        <v>157.24647900174679</v>
      </c>
      <c r="BG17" s="53">
        <f t="shared" si="34"/>
        <v>51.286487671466261</v>
      </c>
      <c r="BH17" s="57">
        <f t="shared" si="35"/>
        <v>0.18471432929399739</v>
      </c>
      <c r="BI17" s="129">
        <f t="shared" si="36"/>
        <v>-0.56634172510920744</v>
      </c>
      <c r="BJ17" s="66" t="str">
        <f t="shared" si="17"/>
        <v>no</v>
      </c>
      <c r="BK17" s="2"/>
      <c r="BL17" s="70">
        <f t="shared" si="37"/>
        <v>165.39878771055808</v>
      </c>
      <c r="BM17" s="528">
        <f t="shared" si="38"/>
        <v>-18.063917485085625</v>
      </c>
      <c r="BN17" s="121"/>
      <c r="BO17" s="577">
        <f t="shared" si="39"/>
        <v>0.11194807835999843</v>
      </c>
      <c r="BP17" s="578">
        <f t="shared" si="40"/>
        <v>0.29698045364929598</v>
      </c>
      <c r="BR17" s="507" t="str">
        <f t="shared" si="41"/>
        <v>NO-OK</v>
      </c>
      <c r="BS17" s="512" t="str">
        <f t="shared" si="42"/>
        <v>NO-OK</v>
      </c>
    </row>
    <row r="18" spans="1:71" ht="20.100000000000001" customHeight="1" thickBot="1" x14ac:dyDescent="0.3">
      <c r="A18" s="844" t="s">
        <v>154</v>
      </c>
      <c r="B18" s="845"/>
      <c r="C18" s="845"/>
      <c r="D18" s="845"/>
      <c r="E18" s="845"/>
      <c r="F18" s="845"/>
      <c r="G18" s="817" t="s">
        <v>90</v>
      </c>
      <c r="H18" s="861" t="s">
        <v>89</v>
      </c>
      <c r="I18" s="858" t="s">
        <v>158</v>
      </c>
      <c r="J18" s="863" t="s">
        <v>29</v>
      </c>
      <c r="K18" s="241"/>
      <c r="L18" s="413">
        <f>+IF('Input Page'!$G$68="YES",Penetrating!L17+15,0)</f>
        <v>180</v>
      </c>
      <c r="M18" s="9">
        <f t="shared" si="0"/>
        <v>51.998838864334409</v>
      </c>
      <c r="N18" s="9">
        <f t="shared" si="1"/>
        <v>98.716496802785755</v>
      </c>
      <c r="O18" s="9">
        <f t="shared" si="2"/>
        <v>3.2743209317036177</v>
      </c>
      <c r="P18" s="9">
        <f t="shared" si="3"/>
        <v>102.60136002086074</v>
      </c>
      <c r="Q18" s="10">
        <f t="shared" si="4"/>
        <v>3.4031777019875227</v>
      </c>
      <c r="R18" s="11">
        <f t="shared" si="18"/>
        <v>-0.59485168511271269</v>
      </c>
      <c r="S18" s="12">
        <f t="shared" si="19"/>
        <v>3.8140000000000001</v>
      </c>
      <c r="T18" s="13">
        <f t="shared" si="20"/>
        <v>2.6242966297745749</v>
      </c>
      <c r="U18" s="14">
        <f t="shared" si="21"/>
        <v>77.030413080565609</v>
      </c>
      <c r="W18" s="549" t="str">
        <f t="shared" si="22"/>
        <v>Max @ Rear</v>
      </c>
      <c r="X18" s="76">
        <f t="shared" si="23"/>
        <v>3.3387493168455702</v>
      </c>
      <c r="Y18" s="76">
        <f t="shared" si="24"/>
        <v>100.65892841182325</v>
      </c>
      <c r="Z18" s="2"/>
      <c r="AA18" s="89">
        <f t="shared" si="5"/>
        <v>136.14754259376988</v>
      </c>
      <c r="AB18" s="90">
        <f t="shared" si="25"/>
        <v>-0.59485168511271269</v>
      </c>
      <c r="AC18" s="91">
        <f t="shared" si="6"/>
        <v>3.8140000000000001</v>
      </c>
      <c r="AD18" s="92">
        <f t="shared" si="7"/>
        <v>2.6242966297745749</v>
      </c>
      <c r="AE18" s="43">
        <f t="shared" si="8"/>
        <v>74.113759554832939</v>
      </c>
      <c r="AF18" s="2"/>
      <c r="AG18" s="89">
        <f t="shared" si="9"/>
        <v>141.50545740623014</v>
      </c>
      <c r="AH18" s="90">
        <f t="shared" si="26"/>
        <v>-0.59485168511271269</v>
      </c>
      <c r="AI18" s="91">
        <f t="shared" si="10"/>
        <v>3.8140000000000001</v>
      </c>
      <c r="AJ18" s="92">
        <f t="shared" si="11"/>
        <v>2.6242966297745749</v>
      </c>
      <c r="AK18" s="550">
        <f t="shared" si="12"/>
        <v>77.030413080565609</v>
      </c>
      <c r="AL18" s="42"/>
      <c r="AM18" s="521">
        <f t="shared" si="13"/>
        <v>180</v>
      </c>
      <c r="AN18" s="522"/>
      <c r="AO18" s="60">
        <f t="shared" si="43"/>
        <v>98.1</v>
      </c>
      <c r="AP18" s="74">
        <f t="shared" si="27"/>
        <v>0</v>
      </c>
      <c r="AQ18" s="74">
        <f t="shared" si="27"/>
        <v>0</v>
      </c>
      <c r="AR18" s="61">
        <f t="shared" si="27"/>
        <v>0</v>
      </c>
      <c r="AS18" s="62">
        <f t="shared" si="27"/>
        <v>0</v>
      </c>
      <c r="AT18" s="67"/>
      <c r="AU18" s="63">
        <f t="shared" si="14"/>
        <v>179.553</v>
      </c>
      <c r="AV18" s="64">
        <f t="shared" si="15"/>
        <v>4.9236489730382887E-2</v>
      </c>
      <c r="AW18" s="64">
        <f t="shared" si="16"/>
        <v>-0.91985293994865036</v>
      </c>
      <c r="AX18" s="68">
        <f t="shared" si="28"/>
        <v>-3.063917485085613</v>
      </c>
      <c r="AY18" s="72">
        <f t="shared" si="29"/>
        <v>0.92116972543236864</v>
      </c>
      <c r="AZ18" s="523"/>
      <c r="BA18" s="65">
        <f t="shared" si="30"/>
        <v>4.9236489730382957E-2</v>
      </c>
      <c r="BB18" s="66">
        <f t="shared" si="31"/>
        <v>-0.91985293994865036</v>
      </c>
      <c r="BC18" s="61">
        <f t="shared" si="32"/>
        <v>165.16235492660002</v>
      </c>
      <c r="BD18" s="62">
        <f t="shared" si="33"/>
        <v>8.840559440559451</v>
      </c>
      <c r="BE18" s="67"/>
      <c r="BF18" s="60">
        <f t="shared" si="34"/>
        <v>165.16235492660002</v>
      </c>
      <c r="BG18" s="61">
        <f t="shared" si="34"/>
        <v>8.840559440559451</v>
      </c>
      <c r="BH18" s="66">
        <f t="shared" si="35"/>
        <v>3.1840316656256008E-2</v>
      </c>
      <c r="BI18" s="128">
        <f t="shared" si="36"/>
        <v>-0.59485168511271269</v>
      </c>
      <c r="BJ18" s="66" t="str">
        <f t="shared" si="17"/>
        <v>no</v>
      </c>
      <c r="BK18" s="2"/>
      <c r="BL18" s="71">
        <f t="shared" si="37"/>
        <v>165.39878771055808</v>
      </c>
      <c r="BM18" s="524">
        <f t="shared" si="38"/>
        <v>-3.0639174850856166</v>
      </c>
      <c r="BN18" s="120"/>
      <c r="BO18" s="577">
        <f t="shared" si="39"/>
        <v>1.9297161609852127E-2</v>
      </c>
      <c r="BP18" s="578">
        <f t="shared" si="40"/>
        <v>0.31193061621012724</v>
      </c>
      <c r="BR18" s="507" t="str">
        <f t="shared" si="41"/>
        <v>NO-OK</v>
      </c>
      <c r="BS18" s="512" t="str">
        <f t="shared" si="42"/>
        <v>NO-OK</v>
      </c>
    </row>
    <row r="19" spans="1:71" ht="19.5" customHeight="1" thickBot="1" x14ac:dyDescent="0.3">
      <c r="A19" s="242" t="s">
        <v>155</v>
      </c>
      <c r="B19" s="194">
        <f>+'Input Page'!D57</f>
        <v>98.1</v>
      </c>
      <c r="C19" s="195">
        <f>+'Input Page'!E57</f>
        <v>9.9999999999999992E-25</v>
      </c>
      <c r="D19" s="195">
        <f>+'Input Page'!F57</f>
        <v>-9.9999999999999992E-25</v>
      </c>
      <c r="E19" s="194">
        <f>+'Input Page'!G57</f>
        <v>0</v>
      </c>
      <c r="F19" s="243">
        <f>+'Input Page'!H57</f>
        <v>0</v>
      </c>
      <c r="G19" s="860"/>
      <c r="H19" s="862"/>
      <c r="I19" s="859"/>
      <c r="J19" s="864"/>
      <c r="K19" s="241"/>
      <c r="L19" s="413">
        <f>+IF('Input Page'!$G$68="YES",Penetrating!L18+15,0)</f>
        <v>195</v>
      </c>
      <c r="M19" s="9">
        <f t="shared" si="0"/>
        <v>51.998838864334409</v>
      </c>
      <c r="N19" s="9">
        <f t="shared" si="1"/>
        <v>107.117611895503</v>
      </c>
      <c r="O19" s="9">
        <f t="shared" si="2"/>
        <v>4.6454502125441826</v>
      </c>
      <c r="P19" s="9">
        <f t="shared" si="3"/>
        <v>92.23238211599859</v>
      </c>
      <c r="Q19" s="10">
        <f t="shared" si="4"/>
        <v>3.999911233291876</v>
      </c>
      <c r="R19" s="11">
        <f t="shared" si="18"/>
        <v>-0.58282348581467569</v>
      </c>
      <c r="S19" s="12">
        <f t="shared" si="19"/>
        <v>3.8140000000000001</v>
      </c>
      <c r="T19" s="13">
        <f t="shared" si="20"/>
        <v>2.6483530283706487</v>
      </c>
      <c r="U19" s="14">
        <f t="shared" si="21"/>
        <v>80.477246483703013</v>
      </c>
      <c r="W19" s="549" t="str">
        <f t="shared" si="22"/>
        <v>Max @ Rear</v>
      </c>
      <c r="X19" s="76">
        <f t="shared" si="23"/>
        <v>4.3226807229180295</v>
      </c>
      <c r="Y19" s="76">
        <f t="shared" si="24"/>
        <v>99.674997005750797</v>
      </c>
      <c r="Z19" s="2"/>
      <c r="AA19" s="89">
        <f t="shared" si="5"/>
        <v>149.19251160803219</v>
      </c>
      <c r="AB19" s="90">
        <f t="shared" si="25"/>
        <v>-0.58282348581467569</v>
      </c>
      <c r="AC19" s="91">
        <f t="shared" si="6"/>
        <v>3.8140000000000001</v>
      </c>
      <c r="AD19" s="92">
        <f t="shared" si="7"/>
        <v>2.6483530283706487</v>
      </c>
      <c r="AE19" s="43">
        <f t="shared" si="8"/>
        <v>80.477246483703013</v>
      </c>
      <c r="AF19" s="2"/>
      <c r="AG19" s="89">
        <f t="shared" si="9"/>
        <v>128.46048839196783</v>
      </c>
      <c r="AH19" s="90">
        <f t="shared" si="26"/>
        <v>-0.58282348581467569</v>
      </c>
      <c r="AI19" s="91">
        <f t="shared" si="10"/>
        <v>3.8140000000000001</v>
      </c>
      <c r="AJ19" s="92">
        <f t="shared" si="11"/>
        <v>2.6483530283706487</v>
      </c>
      <c r="AK19" s="550">
        <f t="shared" si="12"/>
        <v>69.294003273423556</v>
      </c>
      <c r="AL19" s="42"/>
      <c r="AM19" s="525">
        <f t="shared" si="13"/>
        <v>195</v>
      </c>
      <c r="AN19" s="526"/>
      <c r="AO19" s="54">
        <f t="shared" si="43"/>
        <v>98.1</v>
      </c>
      <c r="AP19" s="75">
        <f t="shared" si="27"/>
        <v>0</v>
      </c>
      <c r="AQ19" s="75">
        <f t="shared" si="27"/>
        <v>0</v>
      </c>
      <c r="AR19" s="53">
        <f t="shared" si="27"/>
        <v>0</v>
      </c>
      <c r="AS19" s="55">
        <f t="shared" si="27"/>
        <v>0</v>
      </c>
      <c r="AT19" s="2"/>
      <c r="AU19" s="51">
        <f t="shared" si="14"/>
        <v>179.553</v>
      </c>
      <c r="AV19" s="50">
        <f t="shared" si="15"/>
        <v>4.9236489730382887E-2</v>
      </c>
      <c r="AW19" s="50">
        <f t="shared" si="16"/>
        <v>-0.91985293994865036</v>
      </c>
      <c r="AX19" s="69">
        <f t="shared" si="28"/>
        <v>-3.063917485085613</v>
      </c>
      <c r="AY19" s="73">
        <f t="shared" si="29"/>
        <v>0.92116972543236864</v>
      </c>
      <c r="AZ19" s="527"/>
      <c r="BA19" s="58">
        <f t="shared" si="30"/>
        <v>-0.19051666252586238</v>
      </c>
      <c r="BB19" s="57">
        <f t="shared" si="31"/>
        <v>-0.90125305234054665</v>
      </c>
      <c r="BC19" s="53">
        <f t="shared" si="32"/>
        <v>161.82268930690216</v>
      </c>
      <c r="BD19" s="55">
        <f t="shared" si="33"/>
        <v>-34.207838306506169</v>
      </c>
      <c r="BE19" s="2"/>
      <c r="BF19" s="54">
        <f t="shared" si="34"/>
        <v>161.82268930690216</v>
      </c>
      <c r="BG19" s="53">
        <f t="shared" si="34"/>
        <v>-34.207838306506169</v>
      </c>
      <c r="BH19" s="57">
        <f t="shared" si="35"/>
        <v>-0.12320356094299779</v>
      </c>
      <c r="BI19" s="129">
        <f t="shared" si="36"/>
        <v>-0.58282348581467569</v>
      </c>
      <c r="BJ19" s="66" t="str">
        <f t="shared" si="17"/>
        <v>no</v>
      </c>
      <c r="BK19" s="2"/>
      <c r="BL19" s="70">
        <f t="shared" si="37"/>
        <v>165.39878771055808</v>
      </c>
      <c r="BM19" s="528">
        <f t="shared" si="38"/>
        <v>11.936082514914366</v>
      </c>
      <c r="BN19" s="121"/>
      <c r="BO19" s="577">
        <f t="shared" si="39"/>
        <v>7.4668824813938064E-2</v>
      </c>
      <c r="BP19" s="578">
        <f t="shared" si="40"/>
        <v>0.30562322276595472</v>
      </c>
      <c r="BR19" s="507" t="str">
        <f t="shared" si="41"/>
        <v>NO-OK</v>
      </c>
      <c r="BS19" s="512" t="str">
        <f t="shared" si="42"/>
        <v>NO-OK</v>
      </c>
    </row>
    <row r="20" spans="1:71" ht="19.5" customHeight="1" x14ac:dyDescent="0.25">
      <c r="A20" s="244" t="s">
        <v>74</v>
      </c>
      <c r="B20" s="245">
        <f>+G20</f>
        <v>0</v>
      </c>
      <c r="C20" s="246">
        <f>+'Input Page'!E62</f>
        <v>0</v>
      </c>
      <c r="D20" s="246">
        <f>+'Input Page'!F62</f>
        <v>0</v>
      </c>
      <c r="E20" s="245">
        <f>+B20*D20*-1</f>
        <v>0</v>
      </c>
      <c r="F20" s="247">
        <f>+B20*C20</f>
        <v>0</v>
      </c>
      <c r="G20" s="248">
        <v>0</v>
      </c>
      <c r="H20" s="249">
        <f>+'Input Page'!D62</f>
        <v>0</v>
      </c>
      <c r="I20" s="221">
        <f>+IF(J20=0,-1E-24,G20/J20*-1)</f>
        <v>-9.9999999999999992E-25</v>
      </c>
      <c r="J20" s="222">
        <f>+'Input Page'!C62</f>
        <v>0</v>
      </c>
      <c r="K20" s="241"/>
      <c r="L20" s="413">
        <f>+IF('Input Page'!$G$68="YES",Penetrating!L19+15,0)</f>
        <v>210</v>
      </c>
      <c r="M20" s="9">
        <f t="shared" si="0"/>
        <v>51.998838864334409</v>
      </c>
      <c r="N20" s="9">
        <f t="shared" si="1"/>
        <v>111.05119813058511</v>
      </c>
      <c r="O20" s="9">
        <f t="shared" si="2"/>
        <v>9.9549102384697026</v>
      </c>
      <c r="P20" s="9">
        <f t="shared" si="3"/>
        <v>79.832830291249678</v>
      </c>
      <c r="Q20" s="10">
        <f t="shared" si="4"/>
        <v>7.156416797033148</v>
      </c>
      <c r="R20" s="11">
        <f t="shared" si="18"/>
        <v>-0.53107682911971876</v>
      </c>
      <c r="S20" s="12">
        <f t="shared" si="19"/>
        <v>3.8140000000000001</v>
      </c>
      <c r="T20" s="13">
        <f t="shared" si="20"/>
        <v>2.7518463417605625</v>
      </c>
      <c r="U20" s="14">
        <f t="shared" si="21"/>
        <v>83.855935252603501</v>
      </c>
      <c r="W20" s="549" t="str">
        <f t="shared" si="22"/>
        <v>Max @ Rear</v>
      </c>
      <c r="X20" s="76">
        <f t="shared" si="23"/>
        <v>8.5556635177514249</v>
      </c>
      <c r="Y20" s="76">
        <f t="shared" si="24"/>
        <v>95.442014210917392</v>
      </c>
      <c r="Z20" s="2"/>
      <c r="AA20" s="89">
        <f t="shared" si="5"/>
        <v>161.53105406185131</v>
      </c>
      <c r="AB20" s="90">
        <f t="shared" si="25"/>
        <v>-0.53107682911971876</v>
      </c>
      <c r="AC20" s="91">
        <f t="shared" si="6"/>
        <v>3.8140000000000001</v>
      </c>
      <c r="AD20" s="92">
        <f t="shared" si="7"/>
        <v>2.7518463417605625</v>
      </c>
      <c r="AE20" s="43">
        <f t="shared" si="8"/>
        <v>83.855935252603501</v>
      </c>
      <c r="AF20" s="2"/>
      <c r="AG20" s="89">
        <f t="shared" si="9"/>
        <v>116.12194593814871</v>
      </c>
      <c r="AH20" s="90">
        <f t="shared" si="26"/>
        <v>-0.53107682911971876</v>
      </c>
      <c r="AI20" s="91">
        <f t="shared" si="10"/>
        <v>3.8140000000000001</v>
      </c>
      <c r="AJ20" s="92">
        <f t="shared" si="11"/>
        <v>2.7518463417605625</v>
      </c>
      <c r="AK20" s="550">
        <f t="shared" si="12"/>
        <v>60.282615231787993</v>
      </c>
      <c r="AL20" s="42"/>
      <c r="AM20" s="525">
        <f t="shared" si="13"/>
        <v>210</v>
      </c>
      <c r="AN20" s="526"/>
      <c r="AO20" s="54">
        <f t="shared" si="43"/>
        <v>98.1</v>
      </c>
      <c r="AP20" s="75">
        <f t="shared" si="27"/>
        <v>0</v>
      </c>
      <c r="AQ20" s="75">
        <f t="shared" si="27"/>
        <v>0</v>
      </c>
      <c r="AR20" s="53">
        <f t="shared" si="27"/>
        <v>0</v>
      </c>
      <c r="AS20" s="55">
        <f t="shared" si="27"/>
        <v>0</v>
      </c>
      <c r="AT20" s="2"/>
      <c r="AU20" s="51">
        <f t="shared" si="14"/>
        <v>179.553</v>
      </c>
      <c r="AV20" s="50">
        <f t="shared" si="15"/>
        <v>4.9236489730382887E-2</v>
      </c>
      <c r="AW20" s="50">
        <f t="shared" si="16"/>
        <v>-0.91985293994865036</v>
      </c>
      <c r="AX20" s="69">
        <f t="shared" si="28"/>
        <v>-3.063917485085613</v>
      </c>
      <c r="AY20" s="73">
        <f t="shared" si="29"/>
        <v>0.92116972543236864</v>
      </c>
      <c r="AZ20" s="527"/>
      <c r="BA20" s="58">
        <f t="shared" si="30"/>
        <v>-0.41728641907464176</v>
      </c>
      <c r="BB20" s="57">
        <f t="shared" si="31"/>
        <v>-0.82123425860652444</v>
      </c>
      <c r="BC20" s="53">
        <f t="shared" si="32"/>
        <v>147.45507483557728</v>
      </c>
      <c r="BD20" s="55">
        <f t="shared" si="33"/>
        <v>-74.925028404109156</v>
      </c>
      <c r="BE20" s="2"/>
      <c r="BF20" s="54">
        <f t="shared" si="34"/>
        <v>147.45507483557728</v>
      </c>
      <c r="BG20" s="53">
        <f t="shared" si="34"/>
        <v>-74.925028404109156</v>
      </c>
      <c r="BH20" s="57">
        <f t="shared" si="35"/>
        <v>-0.26985131946749774</v>
      </c>
      <c r="BI20" s="129">
        <f t="shared" si="36"/>
        <v>-0.53107682911971876</v>
      </c>
      <c r="BJ20" s="66" t="str">
        <f t="shared" si="17"/>
        <v>no</v>
      </c>
      <c r="BK20" s="2"/>
      <c r="BL20" s="70">
        <f t="shared" si="37"/>
        <v>165.39878771055808</v>
      </c>
      <c r="BM20" s="528">
        <f t="shared" si="38"/>
        <v>26.936082514914379</v>
      </c>
      <c r="BN20" s="121"/>
      <c r="BO20" s="577">
        <f t="shared" si="39"/>
        <v>0.16354625422272592</v>
      </c>
      <c r="BP20" s="578">
        <f t="shared" si="40"/>
        <v>0.27848811175653843</v>
      </c>
      <c r="BR20" s="507" t="str">
        <f t="shared" si="41"/>
        <v>NO-OK</v>
      </c>
      <c r="BS20" s="512" t="str">
        <f t="shared" si="42"/>
        <v>NO-OK</v>
      </c>
    </row>
    <row r="21" spans="1:71" ht="18.75" customHeight="1" x14ac:dyDescent="0.25">
      <c r="A21" s="200" t="s">
        <v>75</v>
      </c>
      <c r="B21" s="201">
        <f>+G21</f>
        <v>0</v>
      </c>
      <c r="C21" s="202">
        <f>+'Input Page'!E63</f>
        <v>0</v>
      </c>
      <c r="D21" s="202">
        <f>+'Input Page'!F63</f>
        <v>0</v>
      </c>
      <c r="E21" s="201">
        <f t="shared" ref="E21:E23" si="48">+B21*D21*-1</f>
        <v>0</v>
      </c>
      <c r="F21" s="250">
        <f t="shared" ref="F21:F23" si="49">+B21*C21</f>
        <v>0</v>
      </c>
      <c r="G21" s="251">
        <v>0</v>
      </c>
      <c r="H21" s="252">
        <f>+'Input Page'!D63</f>
        <v>0</v>
      </c>
      <c r="I21" s="221">
        <f t="shared" ref="I21:I23" si="50">+IF(J21=0,-1E-24,G21/J21*-1)</f>
        <v>-9.9999999999999992E-25</v>
      </c>
      <c r="J21" s="222">
        <f>+'Input Page'!C63</f>
        <v>0</v>
      </c>
      <c r="K21" s="241"/>
      <c r="L21" s="413">
        <f>+IF('Input Page'!$G$68="YES",Penetrating!L20+15,0)</f>
        <v>225</v>
      </c>
      <c r="M21" s="9">
        <f t="shared" si="0"/>
        <v>51.998838864334409</v>
      </c>
      <c r="N21" s="9">
        <f t="shared" si="1"/>
        <v>109.54088494037077</v>
      </c>
      <c r="O21" s="9">
        <f t="shared" si="2"/>
        <v>19.549173249309991</v>
      </c>
      <c r="P21" s="9">
        <f t="shared" si="3"/>
        <v>66.956016678541502</v>
      </c>
      <c r="Q21" s="10">
        <f t="shared" si="4"/>
        <v>11.949280589115411</v>
      </c>
      <c r="R21" s="11">
        <f t="shared" si="18"/>
        <v>-0.44313816416620955</v>
      </c>
      <c r="S21" s="12">
        <f t="shared" si="19"/>
        <v>3.8140000000000001</v>
      </c>
      <c r="T21" s="13">
        <f t="shared" si="20"/>
        <v>2.927723671667581</v>
      </c>
      <c r="U21" s="14">
        <f t="shared" si="21"/>
        <v>84.08400811525506</v>
      </c>
      <c r="W21" s="549" t="str">
        <f t="shared" si="22"/>
        <v>Max @ Rear</v>
      </c>
      <c r="X21" s="76">
        <f t="shared" si="23"/>
        <v>15.749226919212701</v>
      </c>
      <c r="Y21" s="76">
        <f t="shared" si="24"/>
        <v>88.248450809456131</v>
      </c>
      <c r="Z21" s="2"/>
      <c r="AA21" s="89">
        <f t="shared" si="5"/>
        <v>172.32231867740484</v>
      </c>
      <c r="AB21" s="90">
        <f t="shared" si="25"/>
        <v>-0.44313816416620955</v>
      </c>
      <c r="AC21" s="91">
        <f t="shared" si="6"/>
        <v>3.8140000000000001</v>
      </c>
      <c r="AD21" s="92">
        <f t="shared" si="7"/>
        <v>2.927723671667581</v>
      </c>
      <c r="AE21" s="43">
        <f t="shared" si="8"/>
        <v>84.08400811525506</v>
      </c>
      <c r="AF21" s="2"/>
      <c r="AG21" s="89">
        <f t="shared" si="9"/>
        <v>105.33068132259518</v>
      </c>
      <c r="AH21" s="90">
        <f t="shared" si="26"/>
        <v>-0.44313816416620955</v>
      </c>
      <c r="AI21" s="91">
        <f t="shared" si="10"/>
        <v>3.8140000000000001</v>
      </c>
      <c r="AJ21" s="92">
        <f t="shared" si="11"/>
        <v>2.927723671667581</v>
      </c>
      <c r="AK21" s="550">
        <f t="shared" si="12"/>
        <v>51.395698079564752</v>
      </c>
      <c r="AL21" s="42"/>
      <c r="AM21" s="525">
        <f t="shared" si="13"/>
        <v>225</v>
      </c>
      <c r="AN21" s="526"/>
      <c r="AO21" s="54">
        <f t="shared" si="43"/>
        <v>98.1</v>
      </c>
      <c r="AP21" s="75">
        <f t="shared" si="27"/>
        <v>0</v>
      </c>
      <c r="AQ21" s="75">
        <f t="shared" si="27"/>
        <v>0</v>
      </c>
      <c r="AR21" s="53">
        <f t="shared" si="27"/>
        <v>0</v>
      </c>
      <c r="AS21" s="55">
        <f t="shared" si="27"/>
        <v>0</v>
      </c>
      <c r="AT21" s="2"/>
      <c r="AU21" s="51">
        <f t="shared" si="14"/>
        <v>179.553</v>
      </c>
      <c r="AV21" s="50">
        <f t="shared" si="15"/>
        <v>4.9236489730382887E-2</v>
      </c>
      <c r="AW21" s="50">
        <f t="shared" si="16"/>
        <v>-0.91985293994865036</v>
      </c>
      <c r="AX21" s="69">
        <f t="shared" si="28"/>
        <v>-3.063917485085613</v>
      </c>
      <c r="AY21" s="73">
        <f t="shared" si="29"/>
        <v>0.92116972543236864</v>
      </c>
      <c r="AZ21" s="527"/>
      <c r="BA21" s="58">
        <f t="shared" si="30"/>
        <v>-0.61561879576189704</v>
      </c>
      <c r="BB21" s="57">
        <f t="shared" si="31"/>
        <v>-0.68524970730224832</v>
      </c>
      <c r="BC21" s="53">
        <f t="shared" si="32"/>
        <v>123.03864069524059</v>
      </c>
      <c r="BD21" s="55">
        <f t="shared" si="33"/>
        <v>-110.5362016354359</v>
      </c>
      <c r="BE21" s="2"/>
      <c r="BF21" s="54">
        <f t="shared" si="34"/>
        <v>123.03864069524059</v>
      </c>
      <c r="BG21" s="53">
        <f t="shared" si="34"/>
        <v>-110.5362016354359</v>
      </c>
      <c r="BH21" s="57">
        <f t="shared" si="35"/>
        <v>-0.3981091565206783</v>
      </c>
      <c r="BI21" s="129">
        <f t="shared" si="36"/>
        <v>-0.44313816416620955</v>
      </c>
      <c r="BJ21" s="66" t="str">
        <f t="shared" si="17"/>
        <v>no</v>
      </c>
      <c r="BK21" s="2"/>
      <c r="BL21" s="70">
        <f t="shared" si="37"/>
        <v>165.39878771055808</v>
      </c>
      <c r="BM21" s="528">
        <f t="shared" si="38"/>
        <v>41.936082514914382</v>
      </c>
      <c r="BN21" s="121"/>
      <c r="BO21" s="577">
        <f t="shared" si="39"/>
        <v>0.24127827667919899</v>
      </c>
      <c r="BP21" s="578">
        <f t="shared" si="40"/>
        <v>0.23237449615427874</v>
      </c>
      <c r="BR21" s="507" t="str">
        <f t="shared" si="41"/>
        <v>NO-OK</v>
      </c>
      <c r="BS21" s="512" t="str">
        <f t="shared" si="42"/>
        <v>NO-OK</v>
      </c>
    </row>
    <row r="22" spans="1:71" ht="20.100000000000001" customHeight="1" x14ac:dyDescent="0.25">
      <c r="A22" s="200" t="s">
        <v>77</v>
      </c>
      <c r="B22" s="201">
        <f>+G22</f>
        <v>0</v>
      </c>
      <c r="C22" s="202">
        <f>+'Input Page'!E64</f>
        <v>0</v>
      </c>
      <c r="D22" s="202">
        <f>+'Input Page'!F64</f>
        <v>0</v>
      </c>
      <c r="E22" s="201">
        <f t="shared" si="48"/>
        <v>0</v>
      </c>
      <c r="F22" s="250">
        <f t="shared" si="49"/>
        <v>0</v>
      </c>
      <c r="G22" s="251">
        <v>0</v>
      </c>
      <c r="H22" s="252">
        <f>+'Input Page'!D64</f>
        <v>0</v>
      </c>
      <c r="I22" s="221">
        <f t="shared" si="50"/>
        <v>-9.9999999999999992E-25</v>
      </c>
      <c r="J22" s="222">
        <f>+'Input Page'!C64</f>
        <v>0</v>
      </c>
      <c r="K22" s="253"/>
      <c r="L22" s="413">
        <f>+IF('Input Page'!$G$68="YES",Penetrating!L21+15,0)</f>
        <v>240</v>
      </c>
      <c r="M22" s="9">
        <f t="shared" si="0"/>
        <v>51.998838864334409</v>
      </c>
      <c r="N22" s="9">
        <f t="shared" si="1"/>
        <v>102.36166948084306</v>
      </c>
      <c r="O22" s="9">
        <f t="shared" si="2"/>
        <v>33.102334268165002</v>
      </c>
      <c r="P22" s="9">
        <f t="shared" si="3"/>
        <v>54.807403037658837</v>
      </c>
      <c r="Q22" s="10">
        <f t="shared" si="4"/>
        <v>17.72394867067073</v>
      </c>
      <c r="R22" s="11">
        <f t="shared" si="18"/>
        <v>-0.32500036564521473</v>
      </c>
      <c r="S22" s="12">
        <f t="shared" si="19"/>
        <v>3.8140000000000001</v>
      </c>
      <c r="T22" s="13">
        <f t="shared" si="20"/>
        <v>3.1639992687095706</v>
      </c>
      <c r="U22" s="14">
        <f t="shared" si="21"/>
        <v>81.646622900364193</v>
      </c>
      <c r="W22" s="549" t="str">
        <f t="shared" si="22"/>
        <v>Max @ Rear</v>
      </c>
      <c r="X22" s="76">
        <f t="shared" si="23"/>
        <v>25.413141469417866</v>
      </c>
      <c r="Y22" s="76">
        <f t="shared" si="24"/>
        <v>78.584536259250953</v>
      </c>
      <c r="Z22" s="2"/>
      <c r="AA22" s="89">
        <f t="shared" si="5"/>
        <v>180.83089860455087</v>
      </c>
      <c r="AB22" s="90">
        <f t="shared" si="25"/>
        <v>-0.32500036564521473</v>
      </c>
      <c r="AC22" s="91">
        <f t="shared" si="6"/>
        <v>3.8140000000000001</v>
      </c>
      <c r="AD22" s="92">
        <f t="shared" si="7"/>
        <v>3.1639992687095706</v>
      </c>
      <c r="AE22" s="43">
        <f t="shared" si="8"/>
        <v>81.646622900364193</v>
      </c>
      <c r="AF22" s="2"/>
      <c r="AG22" s="89">
        <f t="shared" si="9"/>
        <v>96.822101395449153</v>
      </c>
      <c r="AH22" s="90">
        <f t="shared" si="26"/>
        <v>-0.32500036564521473</v>
      </c>
      <c r="AI22" s="91">
        <f t="shared" si="10"/>
        <v>3.8140000000000001</v>
      </c>
      <c r="AJ22" s="92">
        <f t="shared" si="11"/>
        <v>3.1639992687095706</v>
      </c>
      <c r="AK22" s="550">
        <f t="shared" si="12"/>
        <v>43.715967028082424</v>
      </c>
      <c r="AL22" s="42"/>
      <c r="AM22" s="525">
        <f t="shared" si="13"/>
        <v>240</v>
      </c>
      <c r="AN22" s="526"/>
      <c r="AO22" s="54">
        <f t="shared" si="43"/>
        <v>98.1</v>
      </c>
      <c r="AP22" s="75">
        <f t="shared" si="27"/>
        <v>0</v>
      </c>
      <c r="AQ22" s="75">
        <f t="shared" si="27"/>
        <v>0</v>
      </c>
      <c r="AR22" s="53">
        <f t="shared" si="27"/>
        <v>0</v>
      </c>
      <c r="AS22" s="55">
        <f t="shared" si="27"/>
        <v>0</v>
      </c>
      <c r="AT22" s="2"/>
      <c r="AU22" s="51">
        <f t="shared" si="14"/>
        <v>179.553</v>
      </c>
      <c r="AV22" s="50">
        <f t="shared" si="15"/>
        <v>4.9236489730382887E-2</v>
      </c>
      <c r="AW22" s="50">
        <f t="shared" si="16"/>
        <v>-0.91985293994865036</v>
      </c>
      <c r="AX22" s="69">
        <f t="shared" si="28"/>
        <v>-3.063917485085613</v>
      </c>
      <c r="AY22" s="73">
        <f t="shared" si="29"/>
        <v>0.92116972543236864</v>
      </c>
      <c r="AZ22" s="527"/>
      <c r="BA22" s="58">
        <f t="shared" si="30"/>
        <v>-0.77199776887614147</v>
      </c>
      <c r="BB22" s="57">
        <f t="shared" si="31"/>
        <v>-0.50256652087400833</v>
      </c>
      <c r="BC22" s="53">
        <f t="shared" si="32"/>
        <v>90.237326522490818</v>
      </c>
      <c r="BD22" s="55">
        <f t="shared" si="33"/>
        <v>-138.61451539501783</v>
      </c>
      <c r="BE22" s="2"/>
      <c r="BF22" s="54">
        <f t="shared" si="34"/>
        <v>90.237326522490818</v>
      </c>
      <c r="BG22" s="53">
        <f t="shared" si="34"/>
        <v>-138.61451539501783</v>
      </c>
      <c r="BH22" s="57">
        <f t="shared" si="35"/>
        <v>-0.49923651246346273</v>
      </c>
      <c r="BI22" s="129">
        <f t="shared" si="36"/>
        <v>-0.32500036564521473</v>
      </c>
      <c r="BJ22" s="66" t="str">
        <f t="shared" si="17"/>
        <v>no</v>
      </c>
      <c r="BK22" s="2"/>
      <c r="BL22" s="70">
        <f t="shared" si="37"/>
        <v>165.39878771055808</v>
      </c>
      <c r="BM22" s="528">
        <f t="shared" si="38"/>
        <v>56.936082514914389</v>
      </c>
      <c r="BN22" s="121"/>
      <c r="BO22" s="577">
        <f t="shared" si="39"/>
        <v>0.30256758331118955</v>
      </c>
      <c r="BP22" s="578">
        <f t="shared" si="40"/>
        <v>0.1704249426561168</v>
      </c>
      <c r="BR22" s="507" t="str">
        <f t="shared" si="41"/>
        <v>NO-OK</v>
      </c>
      <c r="BS22" s="512" t="str">
        <f t="shared" si="42"/>
        <v>NO-OK</v>
      </c>
    </row>
    <row r="23" spans="1:71" ht="16.5" thickBot="1" x14ac:dyDescent="0.3">
      <c r="A23" s="207" t="s">
        <v>78</v>
      </c>
      <c r="B23" s="208">
        <f>+G23</f>
        <v>0</v>
      </c>
      <c r="C23" s="209">
        <f>+'Input Page'!E65</f>
        <v>0</v>
      </c>
      <c r="D23" s="209">
        <f>+'Input Page'!F65</f>
        <v>0</v>
      </c>
      <c r="E23" s="208">
        <f t="shared" si="48"/>
        <v>0</v>
      </c>
      <c r="F23" s="254">
        <f t="shared" si="49"/>
        <v>0</v>
      </c>
      <c r="G23" s="255">
        <v>0</v>
      </c>
      <c r="H23" s="256">
        <f>+'Input Page'!D65</f>
        <v>0</v>
      </c>
      <c r="I23" s="234">
        <f t="shared" si="50"/>
        <v>-9.9999999999999992E-25</v>
      </c>
      <c r="J23" s="235">
        <f>+'Input Page'!C65</f>
        <v>0</v>
      </c>
      <c r="K23" s="253"/>
      <c r="L23" s="413">
        <f>+IF('Input Page'!$G$68="YES",Penetrating!L22+15,0)</f>
        <v>255</v>
      </c>
      <c r="M23" s="9">
        <f t="shared" si="0"/>
        <v>51.998838864334409</v>
      </c>
      <c r="N23" s="9">
        <f t="shared" si="1"/>
        <v>90.143118297841553</v>
      </c>
      <c r="O23" s="9">
        <f t="shared" si="2"/>
        <v>49.550452892770089</v>
      </c>
      <c r="P23" s="9">
        <f t="shared" si="3"/>
        <v>44.074582435207446</v>
      </c>
      <c r="Q23" s="10">
        <f t="shared" si="4"/>
        <v>24.227201831518524</v>
      </c>
      <c r="R23" s="11">
        <f t="shared" si="18"/>
        <v>-0.18471432929399742</v>
      </c>
      <c r="S23" s="12">
        <f t="shared" si="19"/>
        <v>3.8140000000000001</v>
      </c>
      <c r="T23" s="13">
        <f t="shared" si="20"/>
        <v>3.4445713414120052</v>
      </c>
      <c r="U23" s="14">
        <f t="shared" si="21"/>
        <v>77.337820546139426</v>
      </c>
      <c r="W23" s="549" t="str">
        <f t="shared" si="22"/>
        <v>Max @ Rear</v>
      </c>
      <c r="X23" s="76">
        <f t="shared" si="23"/>
        <v>36.888827362144305</v>
      </c>
      <c r="Y23" s="76">
        <f t="shared" si="24"/>
        <v>67.108850366524507</v>
      </c>
      <c r="Z23" s="2"/>
      <c r="AA23" s="89">
        <f t="shared" si="5"/>
        <v>186.47694818234751</v>
      </c>
      <c r="AB23" s="90">
        <f t="shared" si="25"/>
        <v>-0.18471432929399742</v>
      </c>
      <c r="AC23" s="91">
        <f t="shared" si="6"/>
        <v>3.8140000000000001</v>
      </c>
      <c r="AD23" s="92">
        <f t="shared" si="7"/>
        <v>3.4445713414120052</v>
      </c>
      <c r="AE23" s="43">
        <f t="shared" si="8"/>
        <v>77.337820546139426</v>
      </c>
      <c r="AF23" s="2"/>
      <c r="AG23" s="89">
        <f t="shared" si="9"/>
        <v>91.176051817652507</v>
      </c>
      <c r="AH23" s="90">
        <f t="shared" si="26"/>
        <v>-0.18471432929399742</v>
      </c>
      <c r="AI23" s="91">
        <f t="shared" si="10"/>
        <v>3.8140000000000001</v>
      </c>
      <c r="AJ23" s="92">
        <f t="shared" si="11"/>
        <v>3.4445713414120052</v>
      </c>
      <c r="AK23" s="550">
        <f t="shared" si="12"/>
        <v>37.8135592753476</v>
      </c>
      <c r="AL23" s="42"/>
      <c r="AM23" s="525">
        <f t="shared" si="13"/>
        <v>255</v>
      </c>
      <c r="AN23" s="526"/>
      <c r="AO23" s="54">
        <f t="shared" si="43"/>
        <v>98.1</v>
      </c>
      <c r="AP23" s="75">
        <f t="shared" si="43"/>
        <v>0</v>
      </c>
      <c r="AQ23" s="75">
        <f t="shared" si="43"/>
        <v>0</v>
      </c>
      <c r="AR23" s="53">
        <f t="shared" si="43"/>
        <v>0</v>
      </c>
      <c r="AS23" s="55">
        <f t="shared" si="43"/>
        <v>0</v>
      </c>
      <c r="AT23" s="2"/>
      <c r="AU23" s="51">
        <f t="shared" si="14"/>
        <v>179.553</v>
      </c>
      <c r="AV23" s="50">
        <f t="shared" si="15"/>
        <v>4.9236489730382887E-2</v>
      </c>
      <c r="AW23" s="50">
        <f t="shared" si="16"/>
        <v>-0.91985293994865036</v>
      </c>
      <c r="AX23" s="69">
        <f t="shared" si="28"/>
        <v>-3.063917485085613</v>
      </c>
      <c r="AY23" s="73">
        <f t="shared" si="29"/>
        <v>0.92116972543236864</v>
      </c>
      <c r="AZ23" s="527"/>
      <c r="BA23" s="58">
        <f t="shared" si="30"/>
        <v>-0.87576636982811085</v>
      </c>
      <c r="BB23" s="57">
        <f t="shared" si="31"/>
        <v>-0.2856342565786496</v>
      </c>
      <c r="BC23" s="53">
        <f t="shared" si="32"/>
        <v>51.286487671466269</v>
      </c>
      <c r="BD23" s="55">
        <f t="shared" si="33"/>
        <v>-157.24647900174679</v>
      </c>
      <c r="BE23" s="2"/>
      <c r="BF23" s="54">
        <f t="shared" si="34"/>
        <v>51.286487671466269</v>
      </c>
      <c r="BG23" s="53">
        <f t="shared" si="34"/>
        <v>-157.24647900174679</v>
      </c>
      <c r="BH23" s="57">
        <f t="shared" si="35"/>
        <v>-0.56634172510920744</v>
      </c>
      <c r="BI23" s="129">
        <f t="shared" si="36"/>
        <v>-0.18471432929399742</v>
      </c>
      <c r="BJ23" s="66" t="str">
        <f t="shared" si="17"/>
        <v>no</v>
      </c>
      <c r="BK23" s="2"/>
      <c r="BL23" s="70">
        <f t="shared" si="37"/>
        <v>165.39878771055808</v>
      </c>
      <c r="BM23" s="528">
        <f t="shared" si="38"/>
        <v>71.936082514914375</v>
      </c>
      <c r="BN23" s="121"/>
      <c r="BO23" s="577">
        <f t="shared" si="39"/>
        <v>0.34323740915709544</v>
      </c>
      <c r="BP23" s="578">
        <f t="shared" si="40"/>
        <v>9.6861210956474791E-2</v>
      </c>
      <c r="BR23" s="507" t="str">
        <f t="shared" si="41"/>
        <v>NO-OK</v>
      </c>
      <c r="BS23" s="512" t="str">
        <f t="shared" si="42"/>
        <v>NO-OK</v>
      </c>
    </row>
    <row r="24" spans="1:71" ht="16.5" thickBot="1" x14ac:dyDescent="0.3">
      <c r="A24" s="831" t="s">
        <v>156</v>
      </c>
      <c r="B24" s="829">
        <f>+SUM(B19:B23)</f>
        <v>98.1</v>
      </c>
      <c r="C24" s="825">
        <f>+F24/B24</f>
        <v>0</v>
      </c>
      <c r="D24" s="825">
        <f>+E24/B24*-1</f>
        <v>0</v>
      </c>
      <c r="E24" s="829">
        <f>+SUM(E19:E23)</f>
        <v>0</v>
      </c>
      <c r="F24" s="842">
        <f>+SUM(F19:F23)</f>
        <v>0</v>
      </c>
      <c r="G24" s="913" t="s">
        <v>160</v>
      </c>
      <c r="H24" s="913"/>
      <c r="I24" s="240">
        <f>+MAX(I20:I23)</f>
        <v>-9.9999999999999992E-25</v>
      </c>
      <c r="J24" s="154"/>
      <c r="K24" s="253"/>
      <c r="L24" s="413">
        <f>+IF('Input Page'!$G$68="YES",Penetrating!L23+15,0)</f>
        <v>270</v>
      </c>
      <c r="M24" s="9">
        <f t="shared" si="0"/>
        <v>51.998838864334409</v>
      </c>
      <c r="N24" s="9">
        <f t="shared" si="1"/>
        <v>74.288866149530264</v>
      </c>
      <c r="O24" s="9">
        <f t="shared" si="2"/>
        <v>67.201656333506719</v>
      </c>
      <c r="P24" s="9">
        <f t="shared" si="3"/>
        <v>34.918018171266588</v>
      </c>
      <c r="Q24" s="10">
        <f t="shared" si="4"/>
        <v>31.58681480303407</v>
      </c>
      <c r="R24" s="11">
        <f t="shared" si="18"/>
        <v>-3.1840316656255786E-2</v>
      </c>
      <c r="S24" s="12">
        <f t="shared" si="19"/>
        <v>3.8140000000000001</v>
      </c>
      <c r="T24" s="13">
        <f t="shared" si="20"/>
        <v>3.7503193666874886</v>
      </c>
      <c r="U24" s="14">
        <f t="shared" si="21"/>
        <v>71.946519747590244</v>
      </c>
      <c r="W24" s="549" t="str">
        <f t="shared" si="22"/>
        <v>Max @ Rear</v>
      </c>
      <c r="X24" s="76">
        <f t="shared" si="23"/>
        <v>49.394235568270389</v>
      </c>
      <c r="Y24" s="76">
        <f t="shared" si="24"/>
        <v>54.60344216039843</v>
      </c>
      <c r="Z24" s="2"/>
      <c r="AA24" s="89">
        <f t="shared" si="5"/>
        <v>188.87569846260607</v>
      </c>
      <c r="AB24" s="90">
        <f t="shared" si="25"/>
        <v>-3.1840316656255786E-2</v>
      </c>
      <c r="AC24" s="91">
        <f t="shared" si="6"/>
        <v>3.8140000000000001</v>
      </c>
      <c r="AD24" s="92">
        <f t="shared" si="7"/>
        <v>3.7503193666874886</v>
      </c>
      <c r="AE24" s="43">
        <f t="shared" si="8"/>
        <v>71.946519747590244</v>
      </c>
      <c r="AF24" s="2"/>
      <c r="AG24" s="89">
        <f t="shared" si="9"/>
        <v>88.777301537393953</v>
      </c>
      <c r="AH24" s="90">
        <f t="shared" si="26"/>
        <v>-3.1840316656255786E-2</v>
      </c>
      <c r="AI24" s="91">
        <f t="shared" si="10"/>
        <v>3.8140000000000001</v>
      </c>
      <c r="AJ24" s="92">
        <f t="shared" si="11"/>
        <v>3.7503193666874886</v>
      </c>
      <c r="AK24" s="550">
        <f t="shared" si="12"/>
        <v>33.817044385212107</v>
      </c>
      <c r="AL24" s="42"/>
      <c r="AM24" s="521">
        <f t="shared" si="13"/>
        <v>270</v>
      </c>
      <c r="AN24" s="522"/>
      <c r="AO24" s="60">
        <f t="shared" si="43"/>
        <v>98.1</v>
      </c>
      <c r="AP24" s="74">
        <f t="shared" si="43"/>
        <v>0</v>
      </c>
      <c r="AQ24" s="74">
        <f t="shared" si="43"/>
        <v>0</v>
      </c>
      <c r="AR24" s="61">
        <f t="shared" si="43"/>
        <v>0</v>
      </c>
      <c r="AS24" s="62">
        <f t="shared" si="43"/>
        <v>0</v>
      </c>
      <c r="AT24" s="67"/>
      <c r="AU24" s="63">
        <f t="shared" si="14"/>
        <v>179.553</v>
      </c>
      <c r="AV24" s="64">
        <f t="shared" si="15"/>
        <v>4.9236489730382887E-2</v>
      </c>
      <c r="AW24" s="64">
        <f t="shared" si="16"/>
        <v>-0.91985293994865036</v>
      </c>
      <c r="AX24" s="68">
        <f t="shared" si="28"/>
        <v>-3.063917485085613</v>
      </c>
      <c r="AY24" s="72">
        <f t="shared" si="29"/>
        <v>0.92116972543236864</v>
      </c>
      <c r="AZ24" s="523"/>
      <c r="BA24" s="65">
        <f t="shared" si="30"/>
        <v>-0.91985293994865036</v>
      </c>
      <c r="BB24" s="66">
        <f t="shared" si="31"/>
        <v>-4.923648973038261E-2</v>
      </c>
      <c r="BC24" s="61">
        <f t="shared" si="32"/>
        <v>8.8405594405593888</v>
      </c>
      <c r="BD24" s="62">
        <f t="shared" si="33"/>
        <v>-165.16235492660002</v>
      </c>
      <c r="BE24" s="67"/>
      <c r="BF24" s="60">
        <f t="shared" si="34"/>
        <v>8.8405594405593888</v>
      </c>
      <c r="BG24" s="61">
        <f t="shared" si="34"/>
        <v>-165.16235492660002</v>
      </c>
      <c r="BH24" s="66">
        <f t="shared" si="35"/>
        <v>-0.59485168511271269</v>
      </c>
      <c r="BI24" s="128">
        <f t="shared" si="36"/>
        <v>-3.1840316656255786E-2</v>
      </c>
      <c r="BJ24" s="66" t="str">
        <f t="shared" si="17"/>
        <v>no</v>
      </c>
      <c r="BK24" s="2"/>
      <c r="BL24" s="71">
        <f t="shared" si="37"/>
        <v>165.39878771055808</v>
      </c>
      <c r="BM24" s="524">
        <f t="shared" si="38"/>
        <v>86.936082514914403</v>
      </c>
      <c r="BN24" s="120"/>
      <c r="BO24" s="577">
        <f t="shared" si="39"/>
        <v>0.36051617279558346</v>
      </c>
      <c r="BP24" s="578">
        <f t="shared" si="40"/>
        <v>1.6696547800868267E-2</v>
      </c>
      <c r="BR24" s="507" t="str">
        <f t="shared" si="41"/>
        <v>NO-OK</v>
      </c>
      <c r="BS24" s="512" t="str">
        <f t="shared" si="42"/>
        <v>NO-OK</v>
      </c>
    </row>
    <row r="25" spans="1:71" ht="16.5" thickBot="1" x14ac:dyDescent="0.3">
      <c r="A25" s="832"/>
      <c r="B25" s="830"/>
      <c r="C25" s="826"/>
      <c r="D25" s="826"/>
      <c r="E25" s="830"/>
      <c r="F25" s="843"/>
      <c r="G25" s="257"/>
      <c r="H25" s="480"/>
      <c r="I25" s="259"/>
      <c r="J25" s="259"/>
      <c r="K25" s="260"/>
      <c r="L25" s="413">
        <f>+IF('Input Page'!$G$68="YES",Penetrating!L24+15,0)</f>
        <v>285</v>
      </c>
      <c r="M25" s="9">
        <f t="shared" si="0"/>
        <v>51.998838864334409</v>
      </c>
      <c r="N25" s="9">
        <f t="shared" si="1"/>
        <v>84.004426203095178</v>
      </c>
      <c r="O25" s="9">
        <f t="shared" si="2"/>
        <v>56.727972162212446</v>
      </c>
      <c r="P25" s="9">
        <f t="shared" si="3"/>
        <v>40.149860166330306</v>
      </c>
      <c r="Q25" s="10">
        <f t="shared" si="4"/>
        <v>27.113096925699711</v>
      </c>
      <c r="R25" s="11">
        <f t="shared" si="18"/>
        <v>0.12320356094299802</v>
      </c>
      <c r="S25" s="12">
        <f t="shared" si="19"/>
        <v>3.8140000000000001</v>
      </c>
      <c r="T25" s="13">
        <f t="shared" si="20"/>
        <v>3.5675928781140041</v>
      </c>
      <c r="U25" s="14">
        <f t="shared" si="21"/>
        <v>75.226263996949683</v>
      </c>
      <c r="W25" s="549" t="str">
        <f t="shared" si="22"/>
        <v>Max @ Front</v>
      </c>
      <c r="X25" s="76">
        <f t="shared" si="23"/>
        <v>41.92053454395608</v>
      </c>
      <c r="Y25" s="76">
        <f t="shared" si="24"/>
        <v>62.077143184712739</v>
      </c>
      <c r="Z25" s="2"/>
      <c r="AA25" s="89">
        <f t="shared" si="5"/>
        <v>187.86367857784913</v>
      </c>
      <c r="AB25" s="90">
        <f t="shared" si="25"/>
        <v>0.12320356094299802</v>
      </c>
      <c r="AC25" s="91">
        <f t="shared" si="6"/>
        <v>3.8140000000000001</v>
      </c>
      <c r="AD25" s="92">
        <f t="shared" si="7"/>
        <v>3.5675928781140041</v>
      </c>
      <c r="AE25" s="43">
        <f t="shared" si="8"/>
        <v>75.226263996949683</v>
      </c>
      <c r="AF25" s="2"/>
      <c r="AG25" s="89">
        <f t="shared" si="9"/>
        <v>89.789321422150891</v>
      </c>
      <c r="AH25" s="90">
        <f t="shared" si="26"/>
        <v>0.12320356094299802</v>
      </c>
      <c r="AI25" s="91">
        <f t="shared" si="10"/>
        <v>3.8140000000000001</v>
      </c>
      <c r="AJ25" s="92">
        <f t="shared" si="11"/>
        <v>3.5675928781140041</v>
      </c>
      <c r="AK25" s="550">
        <f t="shared" si="12"/>
        <v>35.954343322467608</v>
      </c>
      <c r="AL25" s="42"/>
      <c r="AM25" s="525">
        <f t="shared" si="13"/>
        <v>285</v>
      </c>
      <c r="AN25" s="526"/>
      <c r="AO25" s="54">
        <f t="shared" si="43"/>
        <v>98.1</v>
      </c>
      <c r="AP25" s="75">
        <f t="shared" si="43"/>
        <v>0</v>
      </c>
      <c r="AQ25" s="75">
        <f t="shared" si="43"/>
        <v>0</v>
      </c>
      <c r="AR25" s="53">
        <f t="shared" si="43"/>
        <v>0</v>
      </c>
      <c r="AS25" s="55">
        <f t="shared" si="43"/>
        <v>0</v>
      </c>
      <c r="AT25" s="2"/>
      <c r="AU25" s="51">
        <f t="shared" si="14"/>
        <v>179.553</v>
      </c>
      <c r="AV25" s="50">
        <f t="shared" si="15"/>
        <v>4.9236489730382887E-2</v>
      </c>
      <c r="AW25" s="50">
        <f t="shared" si="16"/>
        <v>-0.91985293994865036</v>
      </c>
      <c r="AX25" s="69">
        <f t="shared" si="28"/>
        <v>-3.063917485085613</v>
      </c>
      <c r="AY25" s="73">
        <f t="shared" si="29"/>
        <v>0.92116972543236864</v>
      </c>
      <c r="AZ25" s="527"/>
      <c r="BA25" s="58">
        <f t="shared" si="30"/>
        <v>-0.90125305234054653</v>
      </c>
      <c r="BB25" s="57">
        <f t="shared" si="31"/>
        <v>0.19051666252586275</v>
      </c>
      <c r="BC25" s="53">
        <f t="shared" si="32"/>
        <v>-34.207838306506233</v>
      </c>
      <c r="BD25" s="55">
        <f t="shared" si="33"/>
        <v>-161.82268930690216</v>
      </c>
      <c r="BE25" s="2"/>
      <c r="BF25" s="54">
        <f t="shared" si="34"/>
        <v>-34.207838306506233</v>
      </c>
      <c r="BG25" s="53">
        <f t="shared" si="34"/>
        <v>-161.82268930690216</v>
      </c>
      <c r="BH25" s="57">
        <f t="shared" si="35"/>
        <v>-0.58282348581467569</v>
      </c>
      <c r="BI25" s="129">
        <f t="shared" si="36"/>
        <v>0.12320356094299802</v>
      </c>
      <c r="BJ25" s="66" t="str">
        <f t="shared" si="17"/>
        <v>no</v>
      </c>
      <c r="BK25" s="2"/>
      <c r="BL25" s="70">
        <f t="shared" si="37"/>
        <v>165.39878771055808</v>
      </c>
      <c r="BM25" s="528">
        <f t="shared" si="38"/>
        <v>-78.063917485085611</v>
      </c>
      <c r="BN25" s="121"/>
      <c r="BO25" s="577">
        <f t="shared" si="39"/>
        <v>0.35322635503919741</v>
      </c>
      <c r="BP25" s="578">
        <f t="shared" si="40"/>
        <v>6.460595749501731E-2</v>
      </c>
      <c r="BR25" s="507" t="str">
        <f t="shared" si="41"/>
        <v>NO-OK</v>
      </c>
      <c r="BS25" s="512" t="str">
        <f t="shared" si="42"/>
        <v>NO-OK</v>
      </c>
    </row>
    <row r="26" spans="1:71" ht="16.5" thickBot="1" x14ac:dyDescent="0.3">
      <c r="A26" s="261" t="s">
        <v>94</v>
      </c>
      <c r="B26" s="262">
        <f>+SUM(B4:B8)+B19</f>
        <v>377.19449999999995</v>
      </c>
      <c r="C26" s="263"/>
      <c r="D26" s="264"/>
      <c r="E26" s="264"/>
      <c r="F26" s="264"/>
      <c r="G26" s="840" t="s">
        <v>1</v>
      </c>
      <c r="H26" s="841"/>
      <c r="I26" s="914">
        <f>+'Input Page'!C68</f>
        <v>3.8140000000000001</v>
      </c>
      <c r="J26" s="915"/>
      <c r="K26" s="260"/>
      <c r="L26" s="413">
        <f>+IF('Input Page'!$G$68="YES",Penetrating!L25+15,0)</f>
        <v>300</v>
      </c>
      <c r="M26" s="9">
        <f t="shared" si="0"/>
        <v>51.998838864334409</v>
      </c>
      <c r="N26" s="9">
        <f t="shared" si="1"/>
        <v>97.914792623640778</v>
      </c>
      <c r="O26" s="9">
        <f t="shared" si="2"/>
        <v>39.556071119546715</v>
      </c>
      <c r="P26" s="9">
        <f t="shared" si="3"/>
        <v>50.231669410172657</v>
      </c>
      <c r="Q26" s="10">
        <f t="shared" si="4"/>
        <v>20.292822303977495</v>
      </c>
      <c r="R26" s="11">
        <f t="shared" si="18"/>
        <v>0.26985131946749813</v>
      </c>
      <c r="S26" s="12">
        <f t="shared" si="19"/>
        <v>3.8140000000000001</v>
      </c>
      <c r="T26" s="13">
        <f t="shared" si="20"/>
        <v>3.2742973610650039</v>
      </c>
      <c r="U26" s="14">
        <f t="shared" si="21"/>
        <v>80.065097408559424</v>
      </c>
      <c r="W26" s="549" t="str">
        <f t="shared" si="22"/>
        <v>Max @ Front</v>
      </c>
      <c r="X26" s="76">
        <f t="shared" si="23"/>
        <v>29.924446711762105</v>
      </c>
      <c r="Y26" s="76">
        <f t="shared" si="24"/>
        <v>74.073231016906718</v>
      </c>
      <c r="Z26" s="2"/>
      <c r="AA26" s="89">
        <f t="shared" si="5"/>
        <v>183.50985601078099</v>
      </c>
      <c r="AB26" s="90">
        <f t="shared" si="25"/>
        <v>0.26985131946749813</v>
      </c>
      <c r="AC26" s="91">
        <f t="shared" si="6"/>
        <v>3.8140000000000001</v>
      </c>
      <c r="AD26" s="92">
        <f t="shared" si="7"/>
        <v>3.2742973610650039</v>
      </c>
      <c r="AE26" s="43">
        <f t="shared" si="8"/>
        <v>80.065097408559424</v>
      </c>
      <c r="AF26" s="2"/>
      <c r="AG26" s="89">
        <f t="shared" si="9"/>
        <v>94.143143989219027</v>
      </c>
      <c r="AH26" s="90">
        <f t="shared" si="26"/>
        <v>0.26985131946749813</v>
      </c>
      <c r="AI26" s="91">
        <f t="shared" si="10"/>
        <v>3.8140000000000001</v>
      </c>
      <c r="AJ26" s="92">
        <f t="shared" si="11"/>
        <v>3.2742973610650039</v>
      </c>
      <c r="AK26" s="550">
        <f t="shared" si="12"/>
        <v>41.074524048463267</v>
      </c>
      <c r="AL26" s="42"/>
      <c r="AM26" s="525">
        <f t="shared" si="13"/>
        <v>300</v>
      </c>
      <c r="AN26" s="526"/>
      <c r="AO26" s="54">
        <f t="shared" si="43"/>
        <v>98.1</v>
      </c>
      <c r="AP26" s="75">
        <f t="shared" si="43"/>
        <v>0</v>
      </c>
      <c r="AQ26" s="75">
        <f t="shared" si="43"/>
        <v>0</v>
      </c>
      <c r="AR26" s="53">
        <f t="shared" si="43"/>
        <v>0</v>
      </c>
      <c r="AS26" s="55">
        <f t="shared" si="43"/>
        <v>0</v>
      </c>
      <c r="AT26" s="2"/>
      <c r="AU26" s="51">
        <f t="shared" si="14"/>
        <v>179.553</v>
      </c>
      <c r="AV26" s="50">
        <f t="shared" si="15"/>
        <v>4.9236489730382887E-2</v>
      </c>
      <c r="AW26" s="50">
        <f t="shared" si="16"/>
        <v>-0.91985293994865036</v>
      </c>
      <c r="AX26" s="69">
        <f t="shared" si="28"/>
        <v>-3.063917485085613</v>
      </c>
      <c r="AY26" s="73">
        <f t="shared" si="29"/>
        <v>0.92116972543236864</v>
      </c>
      <c r="AZ26" s="527"/>
      <c r="BA26" s="58">
        <f t="shared" si="30"/>
        <v>-0.8212342586065241</v>
      </c>
      <c r="BB26" s="57">
        <f t="shared" si="31"/>
        <v>0.41728641907464242</v>
      </c>
      <c r="BC26" s="53">
        <f t="shared" si="32"/>
        <v>-74.92502840410927</v>
      </c>
      <c r="BD26" s="55">
        <f t="shared" si="33"/>
        <v>-147.45507483557722</v>
      </c>
      <c r="BE26" s="2"/>
      <c r="BF26" s="54">
        <f t="shared" si="34"/>
        <v>-74.92502840410927</v>
      </c>
      <c r="BG26" s="53">
        <f t="shared" si="34"/>
        <v>-147.45507483557722</v>
      </c>
      <c r="BH26" s="57">
        <f t="shared" si="35"/>
        <v>-0.53107682911971854</v>
      </c>
      <c r="BI26" s="129">
        <f t="shared" si="36"/>
        <v>0.26985131946749813</v>
      </c>
      <c r="BJ26" s="66" t="str">
        <f t="shared" si="17"/>
        <v>no</v>
      </c>
      <c r="BK26" s="2"/>
      <c r="BL26" s="70">
        <f t="shared" si="37"/>
        <v>165.39878771055808</v>
      </c>
      <c r="BM26" s="528">
        <f t="shared" si="38"/>
        <v>-63.063917485085582</v>
      </c>
      <c r="BN26" s="121"/>
      <c r="BO26" s="577">
        <f t="shared" si="39"/>
        <v>0.32186474492104156</v>
      </c>
      <c r="BP26" s="578">
        <f t="shared" si="40"/>
        <v>0.14150567355401056</v>
      </c>
      <c r="BR26" s="507" t="str">
        <f t="shared" si="41"/>
        <v>NO-OK</v>
      </c>
      <c r="BS26" s="512" t="str">
        <f t="shared" si="42"/>
        <v>NO-OK</v>
      </c>
    </row>
    <row r="27" spans="1:71" ht="15.75" x14ac:dyDescent="0.25">
      <c r="A27" s="821" t="s">
        <v>110</v>
      </c>
      <c r="B27" s="823">
        <f>+B16+B24</f>
        <v>277.65300000000002</v>
      </c>
      <c r="C27" s="825">
        <f>+F27/B27</f>
        <v>3.1840316656255967E-2</v>
      </c>
      <c r="D27" s="827">
        <f>+E27/B27*-1</f>
        <v>-0.59485168511271269</v>
      </c>
      <c r="E27" s="829">
        <f>+E16+E24</f>
        <v>165.16235492660002</v>
      </c>
      <c r="F27" s="819">
        <f>+F16+F24</f>
        <v>8.8405594405594385</v>
      </c>
      <c r="G27" s="856" t="s">
        <v>2</v>
      </c>
      <c r="H27" s="857"/>
      <c r="I27" s="852">
        <f>+'Input Page'!C69</f>
        <v>0.7</v>
      </c>
      <c r="J27" s="853"/>
      <c r="K27" s="260"/>
      <c r="L27" s="413">
        <f>+IF('Input Page'!$G$68="YES",Penetrating!L26+15,0)</f>
        <v>315</v>
      </c>
      <c r="M27" s="9">
        <f t="shared" si="0"/>
        <v>51.998838864334409</v>
      </c>
      <c r="N27" s="9">
        <f t="shared" si="1"/>
        <v>107.27648394525161</v>
      </c>
      <c r="O27" s="9">
        <f t="shared" si="2"/>
        <v>24.651702865981672</v>
      </c>
      <c r="P27" s="9">
        <f t="shared" si="3"/>
        <v>61.853487061869792</v>
      </c>
      <c r="Q27" s="10">
        <f t="shared" si="4"/>
        <v>14.213681584234546</v>
      </c>
      <c r="R27" s="11">
        <f t="shared" si="18"/>
        <v>0.39810915652067852</v>
      </c>
      <c r="S27" s="12">
        <f t="shared" si="19"/>
        <v>3.8140000000000001</v>
      </c>
      <c r="T27" s="13">
        <f t="shared" si="20"/>
        <v>3.0177816869586431</v>
      </c>
      <c r="U27" s="14">
        <f t="shared" si="21"/>
        <v>83.368208288974785</v>
      </c>
      <c r="W27" s="549" t="str">
        <f t="shared" si="22"/>
        <v>Max @ Front</v>
      </c>
      <c r="X27" s="76">
        <f t="shared" si="23"/>
        <v>19.432692225108109</v>
      </c>
      <c r="Y27" s="76">
        <f t="shared" si="24"/>
        <v>84.564985503560706</v>
      </c>
      <c r="Z27" s="2"/>
      <c r="AA27" s="89">
        <f t="shared" si="5"/>
        <v>176.11093657431533</v>
      </c>
      <c r="AB27" s="90">
        <f t="shared" si="25"/>
        <v>0.39810915652067852</v>
      </c>
      <c r="AC27" s="91">
        <f t="shared" si="6"/>
        <v>3.8140000000000001</v>
      </c>
      <c r="AD27" s="92">
        <f t="shared" si="7"/>
        <v>3.0177816869586431</v>
      </c>
      <c r="AE27" s="43">
        <f t="shared" si="8"/>
        <v>83.368208288974785</v>
      </c>
      <c r="AF27" s="2"/>
      <c r="AG27" s="89">
        <f t="shared" si="9"/>
        <v>101.54206342568469</v>
      </c>
      <c r="AH27" s="90">
        <f t="shared" si="26"/>
        <v>0.39810915652067852</v>
      </c>
      <c r="AI27" s="91">
        <f t="shared" si="10"/>
        <v>3.8140000000000001</v>
      </c>
      <c r="AJ27" s="92">
        <f t="shared" si="11"/>
        <v>3.0177816869586431</v>
      </c>
      <c r="AK27" s="550">
        <f t="shared" si="12"/>
        <v>48.068450821011609</v>
      </c>
      <c r="AL27" s="42"/>
      <c r="AM27" s="525">
        <f t="shared" si="13"/>
        <v>315</v>
      </c>
      <c r="AN27" s="526"/>
      <c r="AO27" s="54">
        <f t="shared" si="43"/>
        <v>98.1</v>
      </c>
      <c r="AP27" s="75">
        <f t="shared" si="43"/>
        <v>0</v>
      </c>
      <c r="AQ27" s="75">
        <f t="shared" si="43"/>
        <v>0</v>
      </c>
      <c r="AR27" s="53">
        <f t="shared" si="43"/>
        <v>0</v>
      </c>
      <c r="AS27" s="55">
        <f t="shared" si="43"/>
        <v>0</v>
      </c>
      <c r="AT27" s="2"/>
      <c r="AU27" s="51">
        <f t="shared" si="14"/>
        <v>179.553</v>
      </c>
      <c r="AV27" s="50">
        <f t="shared" si="15"/>
        <v>4.9236489730382887E-2</v>
      </c>
      <c r="AW27" s="50">
        <f t="shared" si="16"/>
        <v>-0.91985293994865036</v>
      </c>
      <c r="AX27" s="69">
        <f t="shared" si="28"/>
        <v>-3.063917485085613</v>
      </c>
      <c r="AY27" s="73">
        <f t="shared" si="29"/>
        <v>0.92116972543236864</v>
      </c>
      <c r="AZ27" s="527"/>
      <c r="BA27" s="58">
        <f t="shared" si="30"/>
        <v>-0.6852497073022481</v>
      </c>
      <c r="BB27" s="57">
        <f t="shared" si="31"/>
        <v>0.61561879576189737</v>
      </c>
      <c r="BC27" s="53">
        <f t="shared" si="32"/>
        <v>-110.53620163543596</v>
      </c>
      <c r="BD27" s="55">
        <f t="shared" si="33"/>
        <v>-123.03864069524055</v>
      </c>
      <c r="BE27" s="2"/>
      <c r="BF27" s="54">
        <f t="shared" si="34"/>
        <v>-110.53620163543596</v>
      </c>
      <c r="BG27" s="53">
        <f t="shared" si="34"/>
        <v>-123.03864069524055</v>
      </c>
      <c r="BH27" s="57">
        <f t="shared" si="35"/>
        <v>-0.44313816416620938</v>
      </c>
      <c r="BI27" s="129">
        <f t="shared" si="36"/>
        <v>0.39810915652067852</v>
      </c>
      <c r="BJ27" s="66" t="str">
        <f t="shared" si="17"/>
        <v>no</v>
      </c>
      <c r="BK27" s="2"/>
      <c r="BL27" s="70">
        <f t="shared" si="37"/>
        <v>165.39878771055808</v>
      </c>
      <c r="BM27" s="528">
        <f t="shared" si="38"/>
        <v>-48.063917485085597</v>
      </c>
      <c r="BN27" s="121"/>
      <c r="BO27" s="577">
        <f t="shared" si="39"/>
        <v>0.26856858434315722</v>
      </c>
      <c r="BP27" s="578">
        <f t="shared" si="40"/>
        <v>0.20876201180948009</v>
      </c>
      <c r="BR27" s="507" t="str">
        <f t="shared" si="41"/>
        <v>NO-OK</v>
      </c>
      <c r="BS27" s="512" t="str">
        <f t="shared" si="42"/>
        <v>NO-OK</v>
      </c>
    </row>
    <row r="28" spans="1:71" ht="16.5" thickBot="1" x14ac:dyDescent="0.3">
      <c r="A28" s="822"/>
      <c r="B28" s="824"/>
      <c r="C28" s="826"/>
      <c r="D28" s="828"/>
      <c r="E28" s="830"/>
      <c r="F28" s="820"/>
      <c r="G28" s="919" t="s">
        <v>95</v>
      </c>
      <c r="H28" s="920"/>
      <c r="I28" s="854">
        <f>+'Input Page'!C70</f>
        <v>3.3</v>
      </c>
      <c r="J28" s="855"/>
      <c r="K28" s="154"/>
      <c r="L28" s="413">
        <f>+IF('Input Page'!$G$68="YES",Penetrating!L27+15,0)</f>
        <v>330</v>
      </c>
      <c r="M28" s="9">
        <f t="shared" si="0"/>
        <v>51.998838864334409</v>
      </c>
      <c r="N28" s="9">
        <f t="shared" si="1"/>
        <v>111.12358818326692</v>
      </c>
      <c r="O28" s="9">
        <f t="shared" si="2"/>
        <v>13.35850365938407</v>
      </c>
      <c r="P28" s="9">
        <f t="shared" si="3"/>
        <v>74.551233646439783</v>
      </c>
      <c r="Q28" s="10">
        <f t="shared" si="4"/>
        <v>8.9620299682468758</v>
      </c>
      <c r="R28" s="11">
        <f t="shared" si="18"/>
        <v>0.49923651246346262</v>
      </c>
      <c r="S28" s="12">
        <f t="shared" si="19"/>
        <v>3.8140000000000001</v>
      </c>
      <c r="T28" s="13">
        <f t="shared" si="20"/>
        <v>2.8155269750730749</v>
      </c>
      <c r="U28" s="14">
        <f t="shared" si="21"/>
        <v>84.313647585555174</v>
      </c>
      <c r="W28" s="549" t="str">
        <f t="shared" si="22"/>
        <v>Max @ Front</v>
      </c>
      <c r="X28" s="76">
        <f t="shared" si="23"/>
        <v>11.160266813815472</v>
      </c>
      <c r="Y28" s="76">
        <f t="shared" si="24"/>
        <v>92.837410914853351</v>
      </c>
      <c r="Z28" s="2"/>
      <c r="AA28" s="89">
        <f t="shared" si="5"/>
        <v>166.1711444007548</v>
      </c>
      <c r="AB28" s="90">
        <f t="shared" si="25"/>
        <v>0.49923651246346262</v>
      </c>
      <c r="AC28" s="91">
        <f t="shared" si="6"/>
        <v>3.8140000000000001</v>
      </c>
      <c r="AD28" s="92">
        <f t="shared" si="7"/>
        <v>2.8155269750730749</v>
      </c>
      <c r="AE28" s="43">
        <f t="shared" si="8"/>
        <v>84.313647585555174</v>
      </c>
      <c r="AF28" s="2"/>
      <c r="AG28" s="89">
        <f t="shared" si="9"/>
        <v>111.48185559924522</v>
      </c>
      <c r="AH28" s="90">
        <f t="shared" si="26"/>
        <v>0.49923651246346262</v>
      </c>
      <c r="AI28" s="91">
        <f t="shared" si="10"/>
        <v>3.8140000000000001</v>
      </c>
      <c r="AJ28" s="92">
        <f t="shared" si="11"/>
        <v>2.8155269750730749</v>
      </c>
      <c r="AK28" s="550">
        <f t="shared" si="12"/>
        <v>56.564826095858656</v>
      </c>
      <c r="AL28" s="42"/>
      <c r="AM28" s="525">
        <f t="shared" si="13"/>
        <v>330</v>
      </c>
      <c r="AN28" s="526"/>
      <c r="AO28" s="54">
        <f t="shared" si="43"/>
        <v>98.1</v>
      </c>
      <c r="AP28" s="75">
        <f t="shared" si="43"/>
        <v>0</v>
      </c>
      <c r="AQ28" s="75">
        <f t="shared" si="43"/>
        <v>0</v>
      </c>
      <c r="AR28" s="53">
        <f t="shared" si="43"/>
        <v>0</v>
      </c>
      <c r="AS28" s="55">
        <f t="shared" si="43"/>
        <v>0</v>
      </c>
      <c r="AT28" s="2"/>
      <c r="AU28" s="51">
        <f t="shared" si="14"/>
        <v>179.553</v>
      </c>
      <c r="AV28" s="50">
        <f t="shared" si="15"/>
        <v>4.9236489730382887E-2</v>
      </c>
      <c r="AW28" s="50">
        <f t="shared" si="16"/>
        <v>-0.91985293994865036</v>
      </c>
      <c r="AX28" s="69">
        <f t="shared" si="28"/>
        <v>-3.063917485085613</v>
      </c>
      <c r="AY28" s="73">
        <f t="shared" si="29"/>
        <v>0.92116972543236864</v>
      </c>
      <c r="AZ28" s="527"/>
      <c r="BA28" s="58">
        <f t="shared" si="30"/>
        <v>-0.50256652087400844</v>
      </c>
      <c r="BB28" s="57">
        <f t="shared" si="31"/>
        <v>0.77199776887614135</v>
      </c>
      <c r="BC28" s="53">
        <f t="shared" si="32"/>
        <v>-138.6145153950178</v>
      </c>
      <c r="BD28" s="55">
        <f t="shared" si="33"/>
        <v>-90.237326522490832</v>
      </c>
      <c r="BE28" s="2"/>
      <c r="BF28" s="54">
        <f t="shared" si="34"/>
        <v>-138.6145153950178</v>
      </c>
      <c r="BG28" s="53">
        <f t="shared" si="34"/>
        <v>-90.237326522490832</v>
      </c>
      <c r="BH28" s="57">
        <f t="shared" si="35"/>
        <v>-0.32500036564521478</v>
      </c>
      <c r="BI28" s="129">
        <f t="shared" si="36"/>
        <v>0.49923651246346262</v>
      </c>
      <c r="BJ28" s="66" t="str">
        <f t="shared" si="17"/>
        <v>no</v>
      </c>
      <c r="BK28" s="2"/>
      <c r="BL28" s="70">
        <f t="shared" si="37"/>
        <v>165.39878771055808</v>
      </c>
      <c r="BM28" s="528">
        <f t="shared" si="38"/>
        <v>-33.063917485085618</v>
      </c>
      <c r="BN28" s="121"/>
      <c r="BO28" s="577">
        <f t="shared" si="39"/>
        <v>0.19696991857285745</v>
      </c>
      <c r="BP28" s="578">
        <f t="shared" si="40"/>
        <v>0.26179156395566994</v>
      </c>
      <c r="BR28" s="507" t="str">
        <f t="shared" si="41"/>
        <v>NO-OK</v>
      </c>
      <c r="BS28" s="512" t="str">
        <f t="shared" si="42"/>
        <v>NO-OK</v>
      </c>
    </row>
    <row r="29" spans="1:71" ht="15.75" customHeight="1" thickBot="1" x14ac:dyDescent="0.3">
      <c r="A29" s="265"/>
      <c r="B29" s="266"/>
      <c r="C29" s="267"/>
      <c r="D29" s="268"/>
      <c r="E29" s="269"/>
      <c r="F29" s="266"/>
      <c r="G29" s="182"/>
      <c r="H29" s="270"/>
      <c r="I29" s="271"/>
      <c r="J29" s="271"/>
      <c r="K29" s="272"/>
      <c r="L29" s="413">
        <f>+IF('Input Page'!$G$68="YES",Penetrating!L28+15,0)</f>
        <v>345</v>
      </c>
      <c r="M29" s="134">
        <f t="shared" si="0"/>
        <v>51.998838864334409</v>
      </c>
      <c r="N29" s="134">
        <f t="shared" si="1"/>
        <v>109.33424641799351</v>
      </c>
      <c r="O29" s="134">
        <f t="shared" si="2"/>
        <v>6.3057714863021621</v>
      </c>
      <c r="P29" s="134">
        <f t="shared" si="3"/>
        <v>87.319263841675394</v>
      </c>
      <c r="Q29" s="135">
        <f t="shared" si="4"/>
        <v>5.0360737113665728</v>
      </c>
      <c r="R29" s="136">
        <f t="shared" si="18"/>
        <v>0.56634172510920766</v>
      </c>
      <c r="S29" s="137">
        <f t="shared" si="19"/>
        <v>3.8140000000000001</v>
      </c>
      <c r="T29" s="132">
        <f t="shared" si="20"/>
        <v>2.6813165497815845</v>
      </c>
      <c r="U29" s="133">
        <f t="shared" si="21"/>
        <v>82.245236639984</v>
      </c>
      <c r="W29" s="549" t="str">
        <f t="shared" si="22"/>
        <v>Max @ Front</v>
      </c>
      <c r="X29" s="76">
        <f t="shared" si="23"/>
        <v>5.6709225988343679</v>
      </c>
      <c r="Y29" s="76">
        <f t="shared" si="24"/>
        <v>98.326755129834453</v>
      </c>
      <c r="Z29" s="2"/>
      <c r="AA29" s="89">
        <f t="shared" si="5"/>
        <v>154.3678599004443</v>
      </c>
      <c r="AB29" s="90">
        <f t="shared" si="25"/>
        <v>0.56634172510920766</v>
      </c>
      <c r="AC29" s="91">
        <f t="shared" si="6"/>
        <v>3.8140000000000001</v>
      </c>
      <c r="AD29" s="92">
        <f t="shared" si="7"/>
        <v>2.6813165497815845</v>
      </c>
      <c r="AE29" s="43">
        <f t="shared" si="8"/>
        <v>82.245236639984</v>
      </c>
      <c r="AF29" s="2"/>
      <c r="AG29" s="89">
        <f t="shared" si="9"/>
        <v>123.28514009955572</v>
      </c>
      <c r="AH29" s="90">
        <f t="shared" si="26"/>
        <v>0.56634172510920766</v>
      </c>
      <c r="AI29" s="91">
        <f t="shared" si="10"/>
        <v>3.8140000000000001</v>
      </c>
      <c r="AJ29" s="92">
        <f t="shared" si="11"/>
        <v>2.6813165497815845</v>
      </c>
      <c r="AK29" s="550">
        <f t="shared" si="12"/>
        <v>65.684758007404085</v>
      </c>
      <c r="AL29" s="42"/>
      <c r="AM29" s="525">
        <f t="shared" si="13"/>
        <v>345</v>
      </c>
      <c r="AN29" s="526"/>
      <c r="AO29" s="54">
        <f t="shared" si="43"/>
        <v>98.1</v>
      </c>
      <c r="AP29" s="75">
        <f t="shared" si="43"/>
        <v>0</v>
      </c>
      <c r="AQ29" s="75">
        <f t="shared" si="43"/>
        <v>0</v>
      </c>
      <c r="AR29" s="53">
        <f t="shared" si="43"/>
        <v>0</v>
      </c>
      <c r="AS29" s="55">
        <f t="shared" si="43"/>
        <v>0</v>
      </c>
      <c r="AT29" s="2"/>
      <c r="AU29" s="51">
        <f t="shared" si="14"/>
        <v>179.553</v>
      </c>
      <c r="AV29" s="50">
        <f t="shared" si="15"/>
        <v>4.9236489730382887E-2</v>
      </c>
      <c r="AW29" s="50">
        <f t="shared" si="16"/>
        <v>-0.91985293994865036</v>
      </c>
      <c r="AX29" s="69">
        <f t="shared" si="28"/>
        <v>-3.063917485085613</v>
      </c>
      <c r="AY29" s="73">
        <f t="shared" si="29"/>
        <v>0.92116972543236864</v>
      </c>
      <c r="AZ29" s="527"/>
      <c r="BA29" s="58">
        <f t="shared" si="30"/>
        <v>-0.28563425657864894</v>
      </c>
      <c r="BB29" s="57">
        <f t="shared" si="31"/>
        <v>0.87576636982811118</v>
      </c>
      <c r="BC29" s="53">
        <f t="shared" si="32"/>
        <v>-157.24647900174685</v>
      </c>
      <c r="BD29" s="55">
        <f t="shared" si="33"/>
        <v>-51.286487671466155</v>
      </c>
      <c r="BE29" s="2"/>
      <c r="BF29" s="54">
        <f t="shared" si="34"/>
        <v>-157.24647900174685</v>
      </c>
      <c r="BG29" s="53">
        <f t="shared" si="34"/>
        <v>-51.286487671466155</v>
      </c>
      <c r="BH29" s="57">
        <f t="shared" si="35"/>
        <v>-0.184714329293997</v>
      </c>
      <c r="BI29" s="129">
        <f t="shared" si="36"/>
        <v>0.56634172510920766</v>
      </c>
      <c r="BJ29" s="66" t="str">
        <f t="shared" si="17"/>
        <v>no</v>
      </c>
      <c r="BK29" s="2"/>
      <c r="BL29" s="70">
        <f t="shared" si="37"/>
        <v>165.39878771055808</v>
      </c>
      <c r="BM29" s="528">
        <f t="shared" si="38"/>
        <v>-18.063917485085586</v>
      </c>
      <c r="BN29" s="121"/>
      <c r="BO29" s="577">
        <f t="shared" si="39"/>
        <v>0.11194807835999819</v>
      </c>
      <c r="BP29" s="578">
        <f t="shared" si="40"/>
        <v>0.29698045364929609</v>
      </c>
      <c r="BR29" s="507" t="str">
        <f t="shared" si="41"/>
        <v>NO-OK</v>
      </c>
      <c r="BS29" s="512" t="str">
        <f t="shared" si="42"/>
        <v>NO-OK</v>
      </c>
    </row>
    <row r="30" spans="1:71" ht="15.75" customHeight="1" thickBot="1" x14ac:dyDescent="0.25">
      <c r="A30" s="265"/>
      <c r="B30" s="266"/>
      <c r="C30" s="267"/>
      <c r="D30" s="268"/>
      <c r="E30" s="269"/>
      <c r="F30" s="266"/>
      <c r="G30" s="182"/>
      <c r="H30" s="270"/>
      <c r="I30" s="271"/>
      <c r="J30" s="271"/>
      <c r="K30" s="272"/>
      <c r="L30" s="109"/>
      <c r="M30" s="105"/>
      <c r="N30" s="105"/>
      <c r="O30" s="105"/>
      <c r="P30" s="105"/>
      <c r="Q30" s="105"/>
      <c r="R30" s="917" t="s">
        <v>168</v>
      </c>
      <c r="S30" s="918"/>
      <c r="T30" s="150">
        <f>+INDEX(T6:T29,MATCH(U30,U6:U29,0))</f>
        <v>2.8155269750730749</v>
      </c>
      <c r="U30" s="151">
        <f>MAX(U6:U29)</f>
        <v>84.313647585555188</v>
      </c>
      <c r="W30" s="551"/>
      <c r="X30" s="552">
        <f t="shared" si="23"/>
        <v>3.3387493168455702</v>
      </c>
      <c r="Y30" s="552">
        <f t="shared" si="24"/>
        <v>100.65892841182325</v>
      </c>
      <c r="Z30" s="544"/>
      <c r="AA30" s="553">
        <f t="shared" si="5"/>
        <v>141.50545740623014</v>
      </c>
      <c r="AB30" s="554">
        <f t="shared" si="25"/>
        <v>0.59485168511271269</v>
      </c>
      <c r="AC30" s="555" t="e">
        <f t="shared" si="6"/>
        <v>#DIV/0!</v>
      </c>
      <c r="AD30" s="556">
        <f t="shared" si="7"/>
        <v>2.6242966297745749</v>
      </c>
      <c r="AE30" s="557">
        <f t="shared" si="8"/>
        <v>0</v>
      </c>
      <c r="AF30" s="544"/>
      <c r="AG30" s="553">
        <f t="shared" si="9"/>
        <v>136.14754259376988</v>
      </c>
      <c r="AH30" s="554">
        <f t="shared" si="26"/>
        <v>0.59485168511271269</v>
      </c>
      <c r="AI30" s="555" t="e">
        <f t="shared" si="10"/>
        <v>#DIV/0!</v>
      </c>
      <c r="AJ30" s="556">
        <f t="shared" si="11"/>
        <v>2.6242966297745749</v>
      </c>
      <c r="AK30" s="558">
        <f t="shared" si="12"/>
        <v>0</v>
      </c>
      <c r="AL30" s="42"/>
      <c r="AM30" s="529">
        <f>+AM29+15</f>
        <v>360</v>
      </c>
      <c r="AN30" s="530"/>
      <c r="AO30" s="531">
        <f t="shared" si="43"/>
        <v>98.1</v>
      </c>
      <c r="AP30" s="532">
        <f t="shared" si="43"/>
        <v>0</v>
      </c>
      <c r="AQ30" s="532">
        <f t="shared" si="43"/>
        <v>0</v>
      </c>
      <c r="AR30" s="533">
        <f t="shared" si="43"/>
        <v>0</v>
      </c>
      <c r="AS30" s="534">
        <f t="shared" si="43"/>
        <v>0</v>
      </c>
      <c r="AT30" s="535"/>
      <c r="AU30" s="536">
        <f t="shared" si="14"/>
        <v>179.553</v>
      </c>
      <c r="AV30" s="537">
        <f t="shared" si="15"/>
        <v>4.9236489730382887E-2</v>
      </c>
      <c r="AW30" s="537">
        <f t="shared" si="16"/>
        <v>-0.91985293994865036</v>
      </c>
      <c r="AX30" s="538">
        <f t="shared" si="28"/>
        <v>-3.063917485085613</v>
      </c>
      <c r="AY30" s="539">
        <f t="shared" si="29"/>
        <v>0.92116972543236864</v>
      </c>
      <c r="AZ30" s="540"/>
      <c r="BA30" s="541">
        <f t="shared" si="30"/>
        <v>-4.9236489730382665E-2</v>
      </c>
      <c r="BB30" s="542">
        <f t="shared" si="31"/>
        <v>0.91985293994865036</v>
      </c>
      <c r="BC30" s="533">
        <f t="shared" si="32"/>
        <v>-165.16235492660002</v>
      </c>
      <c r="BD30" s="534">
        <f t="shared" si="33"/>
        <v>-8.8405594405593995</v>
      </c>
      <c r="BE30" s="535"/>
      <c r="BF30" s="531">
        <f t="shared" si="34"/>
        <v>-165.16235492660002</v>
      </c>
      <c r="BG30" s="533">
        <f t="shared" si="34"/>
        <v>-8.8405594405593995</v>
      </c>
      <c r="BH30" s="542">
        <f t="shared" si="35"/>
        <v>-3.1840316656255828E-2</v>
      </c>
      <c r="BI30" s="543">
        <f t="shared" si="36"/>
        <v>0.59485168511271269</v>
      </c>
      <c r="BJ30" s="542" t="str">
        <f t="shared" si="17"/>
        <v>no</v>
      </c>
      <c r="BK30" s="544"/>
      <c r="BL30" s="545">
        <f t="shared" si="37"/>
        <v>165.39878771055808</v>
      </c>
      <c r="BM30" s="546">
        <f t="shared" si="38"/>
        <v>-3.0639174850855992</v>
      </c>
      <c r="BN30" s="120"/>
      <c r="BO30" s="577">
        <f t="shared" si="39"/>
        <v>1.9297161609852016E-2</v>
      </c>
      <c r="BP30" s="578">
        <f t="shared" si="40"/>
        <v>0.31193061621012724</v>
      </c>
      <c r="BR30" s="513" t="str">
        <f t="shared" si="41"/>
        <v>NO-OK</v>
      </c>
      <c r="BS30" s="514" t="str">
        <f t="shared" si="42"/>
        <v>NO-OK</v>
      </c>
    </row>
    <row r="31" spans="1:71" ht="15.75" customHeight="1" thickBot="1" x14ac:dyDescent="0.3">
      <c r="A31" s="273"/>
      <c r="B31" s="274"/>
      <c r="C31" s="274"/>
      <c r="D31" s="275"/>
      <c r="E31" s="155"/>
      <c r="F31" s="155"/>
      <c r="G31" s="155"/>
      <c r="H31" s="155"/>
      <c r="I31" s="154"/>
      <c r="J31" s="154"/>
      <c r="K31" s="154"/>
      <c r="L31" s="110"/>
      <c r="M31" s="96"/>
      <c r="N31" s="96"/>
      <c r="O31" s="96"/>
      <c r="P31" s="96"/>
      <c r="Q31" s="96"/>
      <c r="R31" s="144"/>
      <c r="S31" s="148" t="s">
        <v>167</v>
      </c>
      <c r="T31" s="149"/>
      <c r="U31" s="152"/>
      <c r="AB31" s="2"/>
      <c r="AC31" s="2"/>
      <c r="AD31" s="2"/>
      <c r="AE31" s="2"/>
      <c r="AF31" s="2"/>
      <c r="AG31" s="2"/>
      <c r="AH31" s="2"/>
      <c r="AI31" s="2"/>
      <c r="AJ31" s="2"/>
      <c r="AK31" s="2"/>
      <c r="AL31" s="113"/>
      <c r="AM31" s="2"/>
      <c r="BF31" s="124" t="s">
        <v>178</v>
      </c>
      <c r="BG31" s="515" t="s">
        <v>178</v>
      </c>
      <c r="BH31" s="515" t="s">
        <v>178</v>
      </c>
      <c r="BI31" s="125" t="s">
        <v>178</v>
      </c>
      <c r="BO31" s="575" t="s">
        <v>178</v>
      </c>
      <c r="BP31" s="576" t="s">
        <v>178</v>
      </c>
    </row>
    <row r="32" spans="1:71" ht="15.75" customHeight="1" thickBot="1" x14ac:dyDescent="0.3">
      <c r="A32" s="844" t="s">
        <v>216</v>
      </c>
      <c r="B32" s="845"/>
      <c r="C32" s="845" t="s">
        <v>36</v>
      </c>
      <c r="D32" s="947"/>
      <c r="E32" s="948" t="s">
        <v>36</v>
      </c>
      <c r="F32" s="949"/>
      <c r="G32" s="949"/>
      <c r="H32" s="949"/>
      <c r="I32" s="949"/>
      <c r="J32" s="950"/>
      <c r="K32" s="154"/>
      <c r="L32" s="106" t="s">
        <v>161</v>
      </c>
      <c r="M32" s="99"/>
      <c r="N32" s="99"/>
      <c r="O32" s="99"/>
      <c r="P32" s="99"/>
      <c r="Q32" s="99"/>
      <c r="R32" s="131"/>
      <c r="S32" s="145">
        <f>+INDEX(J12:J15,MATCH(U32,I12:I15,0))</f>
        <v>1.5</v>
      </c>
      <c r="T32" s="146">
        <f>+S32/$I$27</f>
        <v>2.1428571428571428</v>
      </c>
      <c r="U32" s="147">
        <f>+I16</f>
        <v>0</v>
      </c>
      <c r="X32" s="946" t="s">
        <v>185</v>
      </c>
      <c r="Y32" s="946"/>
      <c r="Z32" s="419"/>
      <c r="AA32" s="962" t="s">
        <v>90</v>
      </c>
      <c r="AB32" s="962" t="s">
        <v>89</v>
      </c>
      <c r="AC32" s="962" t="s">
        <v>158</v>
      </c>
      <c r="AD32" s="963" t="s">
        <v>29</v>
      </c>
      <c r="AE32" s="424" t="s">
        <v>190</v>
      </c>
      <c r="AF32" s="2"/>
      <c r="AG32" s="2"/>
      <c r="AI32" s="2"/>
      <c r="AJ32" s="2"/>
      <c r="AK32" s="2"/>
      <c r="AL32" s="113"/>
      <c r="BF32" s="70">
        <f>+MAX(BF6:BF30)</f>
        <v>165.16235492660002</v>
      </c>
      <c r="BG32" s="504">
        <f t="shared" ref="BG32:BI32" si="51">+MAX(BG6:BG30)</f>
        <v>165.16235492660002</v>
      </c>
      <c r="BH32" s="505">
        <f t="shared" si="51"/>
        <v>0.59485168511271269</v>
      </c>
      <c r="BI32" s="506">
        <f t="shared" si="51"/>
        <v>0.59485168511271269</v>
      </c>
      <c r="BO32" s="577">
        <f>+MAX(BO6:BO30)</f>
        <v>0.36051617279558346</v>
      </c>
      <c r="BP32" s="578">
        <f>+MAX(BP6:BP30)</f>
        <v>0.31193061621012724</v>
      </c>
    </row>
    <row r="33" spans="1:68" ht="15.75" customHeight="1" thickBot="1" x14ac:dyDescent="0.3">
      <c r="A33" s="951" t="str">
        <f>IF(G11&gt;H11,"ERROR - AUXILIARY LINE FORCE EXCEEDS MAXIMUM","AuxiIiary Line Force OK")</f>
        <v>AuxiIiary Line Force OK</v>
      </c>
      <c r="B33" s="952"/>
      <c r="C33" s="952"/>
      <c r="D33" s="952"/>
      <c r="E33" s="940"/>
      <c r="F33" s="940"/>
      <c r="G33" s="940"/>
      <c r="H33" s="940"/>
      <c r="I33" s="940"/>
      <c r="J33" s="941"/>
      <c r="K33" s="154"/>
      <c r="L33" s="138" t="s">
        <v>162</v>
      </c>
      <c r="M33" s="139"/>
      <c r="N33" s="139"/>
      <c r="O33" s="139"/>
      <c r="P33" s="139"/>
      <c r="Q33" s="139"/>
      <c r="R33" s="140"/>
      <c r="S33" s="139">
        <f>+INDEX(J20:J23,MATCH(U33,I20:I23,0))</f>
        <v>0</v>
      </c>
      <c r="T33" s="141">
        <f>+S33/$I$27</f>
        <v>0</v>
      </c>
      <c r="U33" s="16">
        <f>+I24</f>
        <v>-9.9999999999999992E-25</v>
      </c>
      <c r="X33" s="946"/>
      <c r="Y33" s="946"/>
      <c r="Z33" s="419"/>
      <c r="AA33" s="962"/>
      <c r="AB33" s="962"/>
      <c r="AC33" s="962"/>
      <c r="AD33" s="963"/>
      <c r="AE33" s="425" t="s">
        <v>187</v>
      </c>
      <c r="AF33" s="2"/>
      <c r="AG33" s="2"/>
      <c r="AI33" s="2"/>
      <c r="AJ33" s="2"/>
      <c r="AK33" s="2"/>
      <c r="AL33" s="113"/>
      <c r="AO33" s="419" t="s">
        <v>209</v>
      </c>
      <c r="AP33" s="419"/>
      <c r="AQ33" s="419"/>
      <c r="AR33" s="419"/>
      <c r="AS33" s="419"/>
      <c r="BF33" s="507" t="s">
        <v>165</v>
      </c>
      <c r="BG33" s="569" t="s">
        <v>165</v>
      </c>
      <c r="BH33" s="505" t="s">
        <v>165</v>
      </c>
      <c r="BI33" s="506" t="s">
        <v>165</v>
      </c>
      <c r="BO33" s="507" t="s">
        <v>165</v>
      </c>
      <c r="BP33" s="512" t="s">
        <v>165</v>
      </c>
    </row>
    <row r="34" spans="1:68" ht="15.75" customHeight="1" thickBot="1" x14ac:dyDescent="0.3">
      <c r="A34" s="938" t="str">
        <f>IF(G9&gt;H9,"ERROR - EXTRACTION FORCE EXCEEDS MAXIMUM","Extraction Force OK")</f>
        <v>Extraction Force OK</v>
      </c>
      <c r="B34" s="939"/>
      <c r="C34" s="939"/>
      <c r="D34" s="939"/>
      <c r="E34" s="942"/>
      <c r="F34" s="942"/>
      <c r="G34" s="942"/>
      <c r="H34" s="942"/>
      <c r="I34" s="942"/>
      <c r="J34" s="943"/>
      <c r="K34" s="154"/>
      <c r="L34" s="17"/>
      <c r="M34" s="18"/>
      <c r="N34" s="18"/>
      <c r="O34" s="18"/>
      <c r="P34" s="957" t="s">
        <v>30</v>
      </c>
      <c r="Q34" s="958"/>
      <c r="R34" s="958"/>
      <c r="S34" s="958"/>
      <c r="T34" s="142">
        <f>+INDEX(T30:T33,MATCH(U34,U30:U33,0))</f>
        <v>2.8155269750730749</v>
      </c>
      <c r="U34" s="143">
        <f>+MAX(U30:U33)</f>
        <v>84.313647585555188</v>
      </c>
      <c r="X34" s="946"/>
      <c r="Y34" s="946"/>
      <c r="Z34" s="419"/>
      <c r="AA34" s="962"/>
      <c r="AB34" s="962"/>
      <c r="AC34" s="962"/>
      <c r="AD34" s="963"/>
      <c r="AE34" s="423" t="s">
        <v>188</v>
      </c>
      <c r="AF34" s="2"/>
      <c r="AG34" s="2"/>
      <c r="AH34" s="2"/>
      <c r="AI34" s="2"/>
      <c r="AJ34" s="2"/>
      <c r="AK34" s="2"/>
      <c r="AL34" s="113"/>
      <c r="AO34" s="503" t="s">
        <v>114</v>
      </c>
      <c r="AP34" s="503"/>
      <c r="AQ34" s="503"/>
      <c r="AR34" s="503" t="s">
        <v>117</v>
      </c>
      <c r="AS34" s="477"/>
      <c r="BF34" s="508">
        <f>+MIN(BF6:BF30)</f>
        <v>-165.16235492660002</v>
      </c>
      <c r="BG34" s="509">
        <f t="shared" ref="BG34:BI34" si="52">+MIN(BG6:BG30)</f>
        <v>-165.16235492660002</v>
      </c>
      <c r="BH34" s="510">
        <f t="shared" si="52"/>
        <v>-0.59485168511271269</v>
      </c>
      <c r="BI34" s="511">
        <f t="shared" si="52"/>
        <v>-0.59485168511271269</v>
      </c>
      <c r="BO34" s="122">
        <f>+MIN(BO6:BO30)</f>
        <v>1.9297161609852016E-2</v>
      </c>
      <c r="BP34" s="123">
        <f>+MIN(BP6:BP30)</f>
        <v>1.6696547800868267E-2</v>
      </c>
    </row>
    <row r="35" spans="1:68" ht="15.75" customHeight="1" x14ac:dyDescent="0.25">
      <c r="A35" s="938" t="str">
        <f>IF(G10&lt;H10,"ERROR - PENETRATION FORCE EXCEEDS MAXIMUM",IF(G10&gt;0,"ERROR - PENETRATION FORCE MUST BE -ve","Penetration Force OK"))</f>
        <v>Penetration Force OK</v>
      </c>
      <c r="B35" s="939"/>
      <c r="C35" s="939"/>
      <c r="D35" s="939"/>
      <c r="E35" s="942"/>
      <c r="F35" s="942"/>
      <c r="G35" s="942"/>
      <c r="H35" s="942"/>
      <c r="I35" s="942"/>
      <c r="J35" s="943"/>
      <c r="K35" s="154"/>
      <c r="L35" s="97"/>
      <c r="M35" s="98"/>
      <c r="N35" s="98"/>
      <c r="O35" s="98"/>
      <c r="P35" s="100"/>
      <c r="Q35" s="101"/>
      <c r="R35" s="101"/>
      <c r="S35" s="101"/>
      <c r="T35" s="100"/>
      <c r="U35" s="102"/>
      <c r="X35" s="419" t="s">
        <v>179</v>
      </c>
      <c r="Y35" s="419"/>
      <c r="Z35" s="419"/>
      <c r="AA35" s="419"/>
      <c r="AB35" s="419"/>
      <c r="AC35" s="419"/>
      <c r="AD35" s="419"/>
      <c r="AE35" s="423"/>
      <c r="AF35" s="2"/>
      <c r="AG35" s="2"/>
      <c r="AJ35" s="2"/>
      <c r="AK35" s="2"/>
      <c r="AL35" s="113"/>
      <c r="AO35" s="503" t="s">
        <v>115</v>
      </c>
      <c r="AP35" s="503" t="s">
        <v>116</v>
      </c>
      <c r="AQ35" s="503"/>
      <c r="AR35" s="503" t="s">
        <v>115</v>
      </c>
      <c r="AS35" s="503" t="s">
        <v>116</v>
      </c>
    </row>
    <row r="36" spans="1:68" ht="15.75" customHeight="1" x14ac:dyDescent="0.25">
      <c r="A36" s="938" t="str">
        <f>+IF(AE40=0,"Slewing Footpad Forces OK","ERROR - With Slewing Footpad Forces")</f>
        <v>Slewing Footpad Forces OK</v>
      </c>
      <c r="B36" s="939"/>
      <c r="C36" s="939"/>
      <c r="D36" s="939"/>
      <c r="E36" s="942"/>
      <c r="F36" s="942"/>
      <c r="G36" s="942"/>
      <c r="H36" s="942"/>
      <c r="I36" s="942"/>
      <c r="J36" s="943"/>
      <c r="K36" s="154"/>
      <c r="L36" s="97" t="s">
        <v>232</v>
      </c>
      <c r="M36" s="98"/>
      <c r="N36" s="15"/>
      <c r="O36" s="15"/>
      <c r="Q36" s="126">
        <f>+BO32</f>
        <v>0.36051617279558346</v>
      </c>
      <c r="R36" s="101"/>
      <c r="S36" s="101"/>
      <c r="T36" s="100"/>
      <c r="U36" s="102"/>
      <c r="X36" s="916" t="s">
        <v>74</v>
      </c>
      <c r="Y36" s="916"/>
      <c r="Z36" s="419"/>
      <c r="AA36" s="420">
        <f>+G12</f>
        <v>0</v>
      </c>
      <c r="AB36" s="420">
        <f t="shared" ref="AB36:AD39" si="53">+H12</f>
        <v>-450</v>
      </c>
      <c r="AC36" s="420">
        <f t="shared" si="53"/>
        <v>0</v>
      </c>
      <c r="AD36" s="420">
        <f t="shared" si="53"/>
        <v>1.5</v>
      </c>
      <c r="AE36" s="419">
        <f>+IF(AA36&gt;0,1,IF(AA36&lt;AB36,1,0))</f>
        <v>0</v>
      </c>
      <c r="AO36" s="503">
        <f>+-1*(I28+I27)/2</f>
        <v>-2</v>
      </c>
      <c r="AP36" s="503">
        <f>+I26/2</f>
        <v>1.907</v>
      </c>
      <c r="AQ36" s="503"/>
      <c r="AR36" s="503">
        <f>+AO36*-1</f>
        <v>2</v>
      </c>
      <c r="AS36" s="503">
        <f>+AP36</f>
        <v>1.907</v>
      </c>
    </row>
    <row r="37" spans="1:68" ht="15.75" customHeight="1" thickBot="1" x14ac:dyDescent="0.3">
      <c r="A37" s="938" t="str">
        <f>+IF(AE41=0,"Non-Slewing Footpad Forces OK","ERROR - With Non-Slewing Footpad Forces")</f>
        <v>Non-Slewing Footpad Forces OK</v>
      </c>
      <c r="B37" s="939"/>
      <c r="C37" s="939"/>
      <c r="D37" s="939"/>
      <c r="E37" s="944"/>
      <c r="F37" s="944"/>
      <c r="G37" s="944"/>
      <c r="H37" s="944"/>
      <c r="I37" s="944"/>
      <c r="J37" s="945"/>
      <c r="K37" s="154"/>
      <c r="L37" s="97" t="s">
        <v>231</v>
      </c>
      <c r="M37" s="98"/>
      <c r="N37" s="118"/>
      <c r="O37" s="103"/>
      <c r="Q37" s="126">
        <f>+BP32</f>
        <v>0.31193061621012724</v>
      </c>
      <c r="R37" s="101"/>
      <c r="S37" s="101"/>
      <c r="T37" s="100"/>
      <c r="U37" s="102"/>
      <c r="X37" s="916" t="s">
        <v>75</v>
      </c>
      <c r="Y37" s="916"/>
      <c r="Z37" s="419"/>
      <c r="AA37" s="420">
        <f t="shared" ref="AA37:AA38" si="54">+G13</f>
        <v>0</v>
      </c>
      <c r="AB37" s="420">
        <f t="shared" si="53"/>
        <v>0</v>
      </c>
      <c r="AC37" s="420">
        <f t="shared" si="53"/>
        <v>-9.9999999999999992E-25</v>
      </c>
      <c r="AD37" s="420">
        <f t="shared" si="53"/>
        <v>0</v>
      </c>
      <c r="AE37" s="419">
        <f t="shared" ref="AE37:AE45" si="55">+IF(AA37&gt;0,1,IF(AA37&lt;AB37,1,0))</f>
        <v>0</v>
      </c>
      <c r="AO37" s="503">
        <f>+-1*(I28/2-I27/2)</f>
        <v>-1.2999999999999998</v>
      </c>
      <c r="AP37" s="503">
        <f>+I26/2</f>
        <v>1.907</v>
      </c>
      <c r="AQ37" s="503"/>
      <c r="AR37" s="503">
        <f t="shared" ref="AR37" si="56">+AO37*-1</f>
        <v>1.2999999999999998</v>
      </c>
      <c r="AS37" s="503">
        <f t="shared" ref="AS37" si="57">+AP37</f>
        <v>1.907</v>
      </c>
    </row>
    <row r="38" spans="1:68" ht="15.75" customHeight="1" x14ac:dyDescent="0.25">
      <c r="A38" s="158"/>
      <c r="B38" s="154"/>
      <c r="C38" s="154"/>
      <c r="D38" s="155"/>
      <c r="E38" s="155"/>
      <c r="F38" s="155"/>
      <c r="G38" s="155"/>
      <c r="H38" s="155"/>
      <c r="I38" s="154"/>
      <c r="J38" s="154"/>
      <c r="K38" s="154"/>
      <c r="L38" s="97" t="s">
        <v>166</v>
      </c>
      <c r="M38" s="98"/>
      <c r="N38" s="118"/>
      <c r="P38" s="100"/>
      <c r="Q38" s="103" t="str">
        <f>+IF(MIN(O6:O29)&lt;=0,"Track(s) lifting",IF(MIN(Q6:Q29)&lt;=0,"Track(s) lifting","None"))</f>
        <v>None</v>
      </c>
      <c r="R38" s="101"/>
      <c r="S38" s="101"/>
      <c r="T38" s="100"/>
      <c r="U38" s="102"/>
      <c r="X38" s="916" t="s">
        <v>77</v>
      </c>
      <c r="Y38" s="916"/>
      <c r="Z38" s="419"/>
      <c r="AA38" s="420">
        <f t="shared" si="54"/>
        <v>0</v>
      </c>
      <c r="AB38" s="420">
        <f t="shared" si="53"/>
        <v>0</v>
      </c>
      <c r="AC38" s="420">
        <f t="shared" si="53"/>
        <v>-9.9999999999999992E-25</v>
      </c>
      <c r="AD38" s="420">
        <f t="shared" si="53"/>
        <v>0</v>
      </c>
      <c r="AE38" s="419">
        <f t="shared" si="55"/>
        <v>0</v>
      </c>
      <c r="AO38" s="503">
        <f>+AO37</f>
        <v>-1.2999999999999998</v>
      </c>
      <c r="AP38" s="503">
        <f>+-1*AP37</f>
        <v>-1.907</v>
      </c>
      <c r="AQ38" s="503"/>
      <c r="AR38" s="503">
        <f>+AO38*-1</f>
        <v>1.2999999999999998</v>
      </c>
      <c r="AS38" s="503">
        <f>+AP38</f>
        <v>-1.907</v>
      </c>
    </row>
    <row r="39" spans="1:68" ht="15.75" customHeight="1" x14ac:dyDescent="0.25">
      <c r="A39" s="158"/>
      <c r="B39" s="154"/>
      <c r="C39" s="154"/>
      <c r="D39" s="155"/>
      <c r="E39" s="155"/>
      <c r="F39" s="155"/>
      <c r="G39" s="155"/>
      <c r="H39" s="155"/>
      <c r="I39" s="154"/>
      <c r="J39" s="154"/>
      <c r="K39" s="154"/>
      <c r="L39" s="107" t="s">
        <v>163</v>
      </c>
      <c r="M39" s="103"/>
      <c r="N39" s="15"/>
      <c r="P39" s="103"/>
      <c r="Q39" s="103" t="str">
        <f>IF($I$16=-1E+24,"No Slewing Foot Pads Deployed",IF(U32&gt;MAX(U6:U29),"ERROR - Slewing Foot Pad Pressure Exceeds Track Pressure","Slewing Foot Pad Pressure OK"))</f>
        <v>Slewing Foot Pad Pressure OK</v>
      </c>
      <c r="R39" s="103"/>
      <c r="S39" s="103"/>
      <c r="T39" s="103"/>
      <c r="U39" s="104"/>
      <c r="X39" s="916" t="s">
        <v>78</v>
      </c>
      <c r="Y39" s="916"/>
      <c r="Z39" s="419"/>
      <c r="AA39" s="420">
        <f>+G15</f>
        <v>0</v>
      </c>
      <c r="AB39" s="420">
        <f t="shared" si="53"/>
        <v>0</v>
      </c>
      <c r="AC39" s="420">
        <f t="shared" si="53"/>
        <v>-9.9999999999999992E-25</v>
      </c>
      <c r="AD39" s="420">
        <f>+J15</f>
        <v>0</v>
      </c>
      <c r="AE39" s="419">
        <f t="shared" si="55"/>
        <v>0</v>
      </c>
      <c r="AO39" s="503">
        <f>+AO36</f>
        <v>-2</v>
      </c>
      <c r="AP39" s="503">
        <f>+-1*AP36</f>
        <v>-1.907</v>
      </c>
      <c r="AQ39" s="503"/>
      <c r="AR39" s="503">
        <f>+AO39*-1</f>
        <v>2</v>
      </c>
      <c r="AS39" s="503">
        <f>+AP39</f>
        <v>-1.907</v>
      </c>
    </row>
    <row r="40" spans="1:68" ht="15.75" customHeight="1" thickBot="1" x14ac:dyDescent="0.3">
      <c r="A40" s="158"/>
      <c r="B40" s="154"/>
      <c r="C40" s="154"/>
      <c r="D40" s="155"/>
      <c r="E40" s="155"/>
      <c r="F40" s="155"/>
      <c r="G40" s="155"/>
      <c r="H40" s="155"/>
      <c r="I40" s="154"/>
      <c r="J40" s="154"/>
      <c r="K40" s="154"/>
      <c r="L40" s="107" t="s">
        <v>164</v>
      </c>
      <c r="M40" s="103"/>
      <c r="N40" s="15"/>
      <c r="P40" s="103"/>
      <c r="Q40" s="103" t="str">
        <f>IF($I$24=-1E+24,"No Non-Slewing Foot Pads Deployed",IF(U33&gt;MAX(U6:U29),"ERROR - Non-Slewing Foot Pad Pressure Exceeds Track Pressure","Non-Slewing Foot Pad Pressure OK"))</f>
        <v>Non-Slewing Foot Pad Pressure OK</v>
      </c>
      <c r="R40" s="103"/>
      <c r="S40" s="103"/>
      <c r="T40" s="103"/>
      <c r="U40" s="104"/>
      <c r="X40" s="419"/>
      <c r="Y40" s="419"/>
      <c r="Z40" s="419"/>
      <c r="AA40" s="419"/>
      <c r="AB40" s="419"/>
      <c r="AC40" s="419"/>
      <c r="AD40" s="421" t="s">
        <v>189</v>
      </c>
      <c r="AE40" s="422">
        <f>+MAX(AE36:AE39)</f>
        <v>0</v>
      </c>
      <c r="AO40" s="503">
        <f>+AO36</f>
        <v>-2</v>
      </c>
      <c r="AP40" s="503">
        <f>+AP36</f>
        <v>1.907</v>
      </c>
      <c r="AQ40" s="477"/>
      <c r="AR40" s="503">
        <f>+AR36</f>
        <v>2</v>
      </c>
      <c r="AS40" s="503">
        <f>+AS36</f>
        <v>1.907</v>
      </c>
    </row>
    <row r="41" spans="1:68" ht="15.75" customHeight="1" thickBot="1" x14ac:dyDescent="0.3">
      <c r="A41" s="153" t="s">
        <v>44</v>
      </c>
      <c r="B41" s="154"/>
      <c r="C41" s="154"/>
      <c r="D41" s="155"/>
      <c r="E41" s="155"/>
      <c r="F41" s="155"/>
      <c r="G41" s="155"/>
      <c r="H41" s="155"/>
      <c r="I41" s="154"/>
      <c r="J41" s="154"/>
      <c r="K41" s="154"/>
      <c r="L41" s="19"/>
      <c r="M41" s="20"/>
      <c r="N41" s="20"/>
      <c r="O41" s="20"/>
      <c r="P41" s="29"/>
      <c r="Q41" s="953" t="s">
        <v>54</v>
      </c>
      <c r="R41" s="954"/>
      <c r="S41" s="954"/>
      <c r="T41" s="955"/>
      <c r="U41" s="159">
        <v>2</v>
      </c>
      <c r="X41" s="419" t="s">
        <v>186</v>
      </c>
      <c r="Y41" s="419"/>
      <c r="Z41" s="419"/>
      <c r="AA41" s="419"/>
      <c r="AB41" s="419"/>
      <c r="AC41" s="419"/>
      <c r="AD41" s="419"/>
      <c r="AE41" s="419"/>
    </row>
    <row r="42" spans="1:68" ht="15.75" customHeight="1" x14ac:dyDescent="0.2">
      <c r="A42" s="956" t="s">
        <v>170</v>
      </c>
      <c r="B42" s="956"/>
      <c r="C42" s="956"/>
      <c r="D42" s="956"/>
      <c r="E42" s="956"/>
      <c r="F42" s="956"/>
      <c r="G42" s="956"/>
      <c r="H42" s="956"/>
      <c r="I42" s="956"/>
      <c r="J42" s="956"/>
      <c r="K42" s="956"/>
      <c r="R42" s="23"/>
      <c r="S42" s="22"/>
      <c r="T42" s="22"/>
      <c r="X42" s="916" t="s">
        <v>74</v>
      </c>
      <c r="Y42" s="916"/>
      <c r="Z42" s="419"/>
      <c r="AA42" s="420">
        <f>+G20</f>
        <v>0</v>
      </c>
      <c r="AB42" s="420">
        <f t="shared" ref="AB42:AD45" si="58">+H20</f>
        <v>0</v>
      </c>
      <c r="AC42" s="420">
        <f t="shared" si="58"/>
        <v>-9.9999999999999992E-25</v>
      </c>
      <c r="AD42" s="420">
        <f t="shared" si="58"/>
        <v>0</v>
      </c>
      <c r="AE42" s="419">
        <f t="shared" si="55"/>
        <v>0</v>
      </c>
    </row>
    <row r="43" spans="1:68" ht="15.75" customHeight="1" x14ac:dyDescent="0.2">
      <c r="A43" s="478" t="s">
        <v>169</v>
      </c>
      <c r="B43" s="154"/>
      <c r="C43" s="154"/>
      <c r="D43" s="154"/>
      <c r="E43" s="155"/>
      <c r="F43" s="155"/>
      <c r="G43" s="155"/>
      <c r="H43" s="155"/>
      <c r="I43" s="154"/>
      <c r="J43" s="154"/>
      <c r="K43" s="154"/>
      <c r="X43" s="916" t="s">
        <v>75</v>
      </c>
      <c r="Y43" s="916"/>
      <c r="Z43" s="419"/>
      <c r="AA43" s="420">
        <f t="shared" ref="AA43:AA45" si="59">+G21</f>
        <v>0</v>
      </c>
      <c r="AB43" s="420">
        <f t="shared" si="58"/>
        <v>0</v>
      </c>
      <c r="AC43" s="420">
        <f t="shared" si="58"/>
        <v>-9.9999999999999992E-25</v>
      </c>
      <c r="AD43" s="420">
        <f t="shared" si="58"/>
        <v>0</v>
      </c>
      <c r="AE43" s="419">
        <f t="shared" si="55"/>
        <v>0</v>
      </c>
    </row>
    <row r="44" spans="1:68" ht="15.75" customHeight="1" x14ac:dyDescent="0.2">
      <c r="A44" s="478" t="s">
        <v>171</v>
      </c>
      <c r="B44" s="154"/>
      <c r="C44" s="154"/>
      <c r="D44" s="154"/>
      <c r="E44" s="155"/>
      <c r="F44" s="155"/>
      <c r="G44" s="155"/>
      <c r="H44" s="155"/>
      <c r="I44" s="154"/>
      <c r="J44" s="154"/>
      <c r="K44" s="154"/>
      <c r="X44" s="916" t="s">
        <v>77</v>
      </c>
      <c r="Y44" s="916"/>
      <c r="Z44" s="419"/>
      <c r="AA44" s="420">
        <f t="shared" si="59"/>
        <v>0</v>
      </c>
      <c r="AB44" s="420">
        <f t="shared" si="58"/>
        <v>0</v>
      </c>
      <c r="AC44" s="420">
        <f t="shared" si="58"/>
        <v>-9.9999999999999992E-25</v>
      </c>
      <c r="AD44" s="420">
        <f t="shared" si="58"/>
        <v>0</v>
      </c>
      <c r="AE44" s="419">
        <f t="shared" si="55"/>
        <v>0</v>
      </c>
    </row>
    <row r="45" spans="1:68" ht="15.75" customHeight="1" x14ac:dyDescent="0.2">
      <c r="A45" s="478" t="s">
        <v>172</v>
      </c>
      <c r="B45" s="154"/>
      <c r="C45" s="154"/>
      <c r="D45" s="154"/>
      <c r="E45" s="155"/>
      <c r="F45" s="155"/>
      <c r="G45" s="155"/>
      <c r="H45" s="155"/>
      <c r="I45" s="154"/>
      <c r="J45" s="154"/>
      <c r="K45" s="154"/>
      <c r="X45" s="916" t="s">
        <v>78</v>
      </c>
      <c r="Y45" s="916"/>
      <c r="Z45" s="419"/>
      <c r="AA45" s="420">
        <f t="shared" si="59"/>
        <v>0</v>
      </c>
      <c r="AB45" s="420">
        <f t="shared" si="58"/>
        <v>0</v>
      </c>
      <c r="AC45" s="420">
        <f t="shared" si="58"/>
        <v>-9.9999999999999992E-25</v>
      </c>
      <c r="AD45" s="420">
        <f>+J23</f>
        <v>0</v>
      </c>
      <c r="AE45" s="419">
        <f t="shared" si="55"/>
        <v>0</v>
      </c>
    </row>
    <row r="46" spans="1:68" ht="15.75" customHeight="1" x14ac:dyDescent="0.2">
      <c r="A46" s="478" t="s">
        <v>173</v>
      </c>
      <c r="B46" s="154"/>
      <c r="C46" s="154"/>
      <c r="D46" s="154"/>
      <c r="E46" s="155"/>
      <c r="F46" s="155"/>
      <c r="G46" s="155"/>
      <c r="H46" s="155"/>
      <c r="I46" s="154"/>
      <c r="J46" s="154"/>
      <c r="K46" s="154"/>
      <c r="AD46" s="421" t="s">
        <v>189</v>
      </c>
      <c r="AE46" s="422">
        <f>+MAX(AE42:AE45)</f>
        <v>0</v>
      </c>
    </row>
    <row r="47" spans="1:68" ht="15.75" customHeight="1" x14ac:dyDescent="0.25">
      <c r="A47" s="478"/>
      <c r="B47" s="154"/>
      <c r="C47" s="154"/>
      <c r="D47" s="155"/>
      <c r="E47" s="155"/>
      <c r="F47" s="155"/>
      <c r="G47" s="157"/>
      <c r="H47" s="155"/>
      <c r="I47" s="154"/>
      <c r="J47" s="154"/>
      <c r="K47" s="154"/>
      <c r="R47" s="23"/>
    </row>
    <row r="48" spans="1:68" ht="15.75" customHeight="1" x14ac:dyDescent="0.2">
      <c r="A48" s="478" t="s">
        <v>49</v>
      </c>
      <c r="B48" s="154"/>
      <c r="C48" s="154"/>
      <c r="D48" s="155"/>
      <c r="E48" s="155"/>
      <c r="F48" s="155"/>
      <c r="G48" s="155"/>
      <c r="H48" s="155"/>
      <c r="I48" s="154"/>
      <c r="J48" s="154"/>
      <c r="K48" s="154"/>
      <c r="R48" s="23"/>
    </row>
    <row r="49" spans="1:17" ht="15.75" customHeight="1" x14ac:dyDescent="0.2">
      <c r="A49" s="478" t="s">
        <v>48</v>
      </c>
      <c r="B49" s="154"/>
      <c r="C49" s="154"/>
      <c r="D49" s="155"/>
      <c r="E49" s="155"/>
      <c r="F49" s="155"/>
      <c r="G49" s="155"/>
      <c r="H49" s="155"/>
      <c r="I49" s="154"/>
      <c r="J49" s="154"/>
      <c r="K49" s="154"/>
      <c r="M49" s="1"/>
      <c r="N49" s="1"/>
      <c r="O49" s="1"/>
      <c r="P49" s="1"/>
      <c r="Q49" s="1"/>
    </row>
    <row r="50" spans="1:17" ht="15.75" customHeight="1" x14ac:dyDescent="0.2">
      <c r="A50" s="154" t="s">
        <v>45</v>
      </c>
      <c r="B50" s="154"/>
      <c r="C50" s="154"/>
      <c r="D50" s="155"/>
      <c r="E50" s="155"/>
      <c r="F50" s="155"/>
      <c r="G50" s="155"/>
      <c r="H50" s="155"/>
      <c r="I50" s="154"/>
      <c r="J50" s="154"/>
      <c r="K50" s="154"/>
      <c r="L50" s="24"/>
    </row>
    <row r="51" spans="1:17" ht="15.75" customHeight="1" x14ac:dyDescent="0.2">
      <c r="A51" s="154" t="s">
        <v>46</v>
      </c>
      <c r="B51" s="154"/>
      <c r="C51" s="154"/>
      <c r="D51" s="155"/>
      <c r="E51" s="155"/>
      <c r="F51" s="155"/>
      <c r="G51" s="155"/>
      <c r="H51" s="155"/>
      <c r="I51" s="154"/>
      <c r="J51" s="154"/>
      <c r="K51" s="154"/>
    </row>
    <row r="52" spans="1:17" ht="15.75" customHeight="1" x14ac:dyDescent="0.2">
      <c r="A52" s="158"/>
      <c r="B52" s="154"/>
      <c r="C52" s="154"/>
      <c r="D52" s="155"/>
      <c r="E52" s="155"/>
      <c r="F52" s="155"/>
      <c r="G52" s="155"/>
      <c r="H52" s="155"/>
      <c r="I52" s="154"/>
      <c r="J52" s="154"/>
      <c r="K52" s="154"/>
    </row>
    <row r="53" spans="1:17" ht="15.75" customHeight="1" x14ac:dyDescent="0.25">
      <c r="A53" s="276" t="s">
        <v>47</v>
      </c>
      <c r="B53" s="154"/>
      <c r="C53" s="155"/>
      <c r="D53" s="155"/>
      <c r="E53" s="155"/>
      <c r="F53" s="276" t="s">
        <v>64</v>
      </c>
      <c r="G53" s="155"/>
      <c r="H53" s="155"/>
      <c r="I53" s="154"/>
      <c r="J53" s="154"/>
      <c r="K53" s="154"/>
    </row>
    <row r="54" spans="1:17" ht="15.75" customHeight="1" x14ac:dyDescent="0.2">
      <c r="A54" s="1"/>
      <c r="D54" s="1"/>
      <c r="E54" s="1"/>
      <c r="F54" s="1"/>
      <c r="G54" s="1"/>
      <c r="K54" s="24"/>
    </row>
    <row r="55" spans="1:17" ht="15.75" customHeight="1" x14ac:dyDescent="0.2">
      <c r="G55" s="1"/>
    </row>
    <row r="56" spans="1:17" x14ac:dyDescent="0.2">
      <c r="G56" s="1"/>
    </row>
    <row r="57" spans="1:17" x14ac:dyDescent="0.2">
      <c r="G57" s="1"/>
    </row>
    <row r="58" spans="1:17" ht="15" x14ac:dyDescent="0.2">
      <c r="G58" s="1"/>
      <c r="L58" s="24"/>
    </row>
    <row r="59" spans="1:17" ht="15" x14ac:dyDescent="0.2">
      <c r="G59" s="1"/>
      <c r="L59" s="24"/>
    </row>
    <row r="60" spans="1:17" ht="15" x14ac:dyDescent="0.2">
      <c r="L60" s="24"/>
    </row>
    <row r="61" spans="1:17" ht="15" x14ac:dyDescent="0.2">
      <c r="L61" s="24"/>
    </row>
  </sheetData>
  <sheetProtection sheet="1" objects="1" scenarios="1"/>
  <mergeCells count="123">
    <mergeCell ref="X44:Y44"/>
    <mergeCell ref="X45:Y45"/>
    <mergeCell ref="X38:Y38"/>
    <mergeCell ref="X39:Y39"/>
    <mergeCell ref="Q41:T41"/>
    <mergeCell ref="A42:K42"/>
    <mergeCell ref="X42:Y42"/>
    <mergeCell ref="X43:Y43"/>
    <mergeCell ref="A35:D35"/>
    <mergeCell ref="E35:J35"/>
    <mergeCell ref="A36:D36"/>
    <mergeCell ref="E36:J36"/>
    <mergeCell ref="X36:Y36"/>
    <mergeCell ref="A37:D37"/>
    <mergeCell ref="E37:J37"/>
    <mergeCell ref="X37:Y37"/>
    <mergeCell ref="X32:Y34"/>
    <mergeCell ref="AA32:AA34"/>
    <mergeCell ref="AB32:AB34"/>
    <mergeCell ref="AC32:AC34"/>
    <mergeCell ref="AD32:AD34"/>
    <mergeCell ref="A33:D33"/>
    <mergeCell ref="E33:J33"/>
    <mergeCell ref="A34:D34"/>
    <mergeCell ref="E34:J34"/>
    <mergeCell ref="P34:S34"/>
    <mergeCell ref="R30:S30"/>
    <mergeCell ref="A32:D32"/>
    <mergeCell ref="E32:J32"/>
    <mergeCell ref="G24:H24"/>
    <mergeCell ref="G26:H26"/>
    <mergeCell ref="I26:J26"/>
    <mergeCell ref="A27:A28"/>
    <mergeCell ref="B27:B28"/>
    <mergeCell ref="C27:C28"/>
    <mergeCell ref="D27:D28"/>
    <mergeCell ref="E27:E28"/>
    <mergeCell ref="F27:F28"/>
    <mergeCell ref="G27:H27"/>
    <mergeCell ref="A24:A25"/>
    <mergeCell ref="B24:B25"/>
    <mergeCell ref="C24:C25"/>
    <mergeCell ref="D24:D25"/>
    <mergeCell ref="E24:E25"/>
    <mergeCell ref="F24:F25"/>
    <mergeCell ref="A18:F18"/>
    <mergeCell ref="G18:G19"/>
    <mergeCell ref="H18:H19"/>
    <mergeCell ref="I18:I19"/>
    <mergeCell ref="J18:J19"/>
    <mergeCell ref="AV4:AV5"/>
    <mergeCell ref="I27:J27"/>
    <mergeCell ref="G28:H28"/>
    <mergeCell ref="I28:J28"/>
    <mergeCell ref="G6:G7"/>
    <mergeCell ref="H6:H7"/>
    <mergeCell ref="O2:O5"/>
    <mergeCell ref="I10:I11"/>
    <mergeCell ref="J10:J11"/>
    <mergeCell ref="G16:H16"/>
    <mergeCell ref="A3:F3"/>
    <mergeCell ref="T3:U3"/>
    <mergeCell ref="AO3:AO5"/>
    <mergeCell ref="AP3:AP5"/>
    <mergeCell ref="AQ3:AQ5"/>
    <mergeCell ref="AM2:AM5"/>
    <mergeCell ref="AO2:AS2"/>
    <mergeCell ref="X2:X5"/>
    <mergeCell ref="Y2:Y5"/>
    <mergeCell ref="B1:B2"/>
    <mergeCell ref="C1:C2"/>
    <mergeCell ref="D1:D2"/>
    <mergeCell ref="E1:E2"/>
    <mergeCell ref="F1:F2"/>
    <mergeCell ref="L1:O1"/>
    <mergeCell ref="L2:L5"/>
    <mergeCell ref="M2:M5"/>
    <mergeCell ref="N2:N5"/>
    <mergeCell ref="BR2:BS2"/>
    <mergeCell ref="AS3:AS5"/>
    <mergeCell ref="AU3:AU5"/>
    <mergeCell ref="AV3:AW3"/>
    <mergeCell ref="AX3:AX5"/>
    <mergeCell ref="AE2:AE3"/>
    <mergeCell ref="AG2:AG3"/>
    <mergeCell ref="AH2:AH3"/>
    <mergeCell ref="AI2:AI3"/>
    <mergeCell ref="AJ2:AJ3"/>
    <mergeCell ref="AK2:AK3"/>
    <mergeCell ref="BO3:BO5"/>
    <mergeCell ref="BP3:BP5"/>
    <mergeCell ref="BR3:BS4"/>
    <mergeCell ref="AY3:AY5"/>
    <mergeCell ref="BA3:BA5"/>
    <mergeCell ref="BB3:BB5"/>
    <mergeCell ref="BC3:BC5"/>
    <mergeCell ref="BD3:BD5"/>
    <mergeCell ref="BF3:BF5"/>
    <mergeCell ref="AW4:AW5"/>
    <mergeCell ref="BH4:BH5"/>
    <mergeCell ref="BI4:BI5"/>
    <mergeCell ref="BJ4:BJ5"/>
    <mergeCell ref="AG1:AK1"/>
    <mergeCell ref="AM1:BM1"/>
    <mergeCell ref="P2:P5"/>
    <mergeCell ref="Q2:Q5"/>
    <mergeCell ref="R2:S2"/>
    <mergeCell ref="W2:W5"/>
    <mergeCell ref="BA2:BD2"/>
    <mergeCell ref="BF2:BI2"/>
    <mergeCell ref="BG3:BG5"/>
    <mergeCell ref="BL3:BL5"/>
    <mergeCell ref="BM3:BM5"/>
    <mergeCell ref="AR3:AR5"/>
    <mergeCell ref="AU2:AY2"/>
    <mergeCell ref="AA2:AA3"/>
    <mergeCell ref="AB2:AB3"/>
    <mergeCell ref="AC2:AC3"/>
    <mergeCell ref="AD2:AD3"/>
    <mergeCell ref="P1:S1"/>
    <mergeCell ref="T1:U2"/>
    <mergeCell ref="W1:Y1"/>
    <mergeCell ref="AA1:AE1"/>
  </mergeCells>
  <conditionalFormatting sqref="G25">
    <cfRule type="cellIs" dxfId="32" priority="13" operator="greaterThan">
      <formula>H25</formula>
    </cfRule>
  </conditionalFormatting>
  <conditionalFormatting sqref="G9">
    <cfRule type="cellIs" dxfId="31" priority="12" operator="greaterThan">
      <formula>$H$9</formula>
    </cfRule>
  </conditionalFormatting>
  <conditionalFormatting sqref="G11">
    <cfRule type="cellIs" dxfId="30" priority="11" operator="greaterThan">
      <formula>$H$11</formula>
    </cfRule>
  </conditionalFormatting>
  <conditionalFormatting sqref="G10">
    <cfRule type="cellIs" dxfId="29" priority="3" operator="greaterThan">
      <formula>0</formula>
    </cfRule>
    <cfRule type="cellIs" dxfId="28" priority="10" operator="lessThan">
      <formula>$H$10</formula>
    </cfRule>
  </conditionalFormatting>
  <conditionalFormatting sqref="W6:W29">
    <cfRule type="containsText" dxfId="27" priority="9" operator="containsText" text="Front">
      <formula>NOT(ISERROR(SEARCH("Front",W6)))</formula>
    </cfRule>
  </conditionalFormatting>
  <conditionalFormatting sqref="W6:W29">
    <cfRule type="containsText" dxfId="26" priority="8" operator="containsText" text="Rear">
      <formula>NOT(ISERROR(SEARCH("Rear",W6)))</formula>
    </cfRule>
  </conditionalFormatting>
  <conditionalFormatting sqref="G12:G15">
    <cfRule type="cellIs" dxfId="25" priority="6" operator="greaterThan">
      <formula>0</formula>
    </cfRule>
    <cfRule type="cellIs" dxfId="24" priority="7" operator="lessThan">
      <formula>$H12</formula>
    </cfRule>
  </conditionalFormatting>
  <conditionalFormatting sqref="G20:G23">
    <cfRule type="cellIs" dxfId="23" priority="4" operator="greaterThan">
      <formula>0</formula>
    </cfRule>
    <cfRule type="cellIs" dxfId="22" priority="5" operator="lessThan">
      <formula>$H20</formula>
    </cfRule>
  </conditionalFormatting>
  <dataValidations count="1">
    <dataValidation type="list" allowBlank="1" showInputMessage="1" showErrorMessage="1" sqref="U41">
      <formula1>"0,1,2"</formula1>
    </dataValidation>
  </dataValidations>
  <pageMargins left="0.7" right="0.7" top="0.75" bottom="0.75" header="0.3" footer="0.3"/>
  <pageSetup paperSize="9" scale="5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topLeftCell="A11" zoomScale="75" zoomScaleNormal="75" workbookViewId="0">
      <selection activeCell="O5" sqref="O5"/>
    </sheetView>
  </sheetViews>
  <sheetFormatPr defaultRowHeight="12.75" x14ac:dyDescent="0.2"/>
  <cols>
    <col min="1" max="1" width="23.375" style="21" customWidth="1"/>
    <col min="2" max="3" width="10.625" style="1" customWidth="1"/>
    <col min="4" max="8" width="10.625" style="22" customWidth="1"/>
    <col min="9" max="10" width="10.625" style="1" customWidth="1"/>
    <col min="11" max="11" width="29.75" style="1" customWidth="1"/>
    <col min="12" max="12" width="11" style="1" customWidth="1"/>
    <col min="13" max="13" width="9.125" style="22" hidden="1" customWidth="1"/>
    <col min="14" max="17" width="9.125" style="22" customWidth="1"/>
    <col min="18" max="19" width="9" style="1"/>
    <col min="20" max="20" width="9.375" style="1" bestFit="1" customWidth="1"/>
    <col min="21" max="25" width="9" style="1"/>
    <col min="26" max="26" width="3.5" style="1" customWidth="1"/>
    <col min="27" max="31" width="9.125" style="1" customWidth="1"/>
    <col min="32" max="32" width="3.5" style="1" customWidth="1"/>
    <col min="33" max="37" width="9.125" style="1" customWidth="1"/>
    <col min="38" max="38" width="2.875" style="114" customWidth="1"/>
    <col min="39" max="39" width="9" style="1"/>
    <col min="40" max="40" width="3.25" style="1" customWidth="1"/>
    <col min="41" max="45" width="9" style="1"/>
    <col min="46" max="46" width="3.25" style="1" customWidth="1"/>
    <col min="47" max="51" width="9" style="1"/>
    <col min="52" max="52" width="3.25" style="1" customWidth="1"/>
    <col min="53" max="53" width="9" style="1"/>
    <col min="54" max="54" width="11" style="1" bestFit="1" customWidth="1"/>
    <col min="55" max="56" width="9" style="1"/>
    <col min="57" max="57" width="3.5" style="1" customWidth="1"/>
    <col min="58" max="59" width="9" style="1"/>
    <col min="60" max="60" width="9.125" style="1" bestFit="1" customWidth="1"/>
    <col min="61" max="61" width="9.75" style="1" bestFit="1" customWidth="1"/>
    <col min="62" max="62" width="9.75" style="1" customWidth="1"/>
    <col min="63" max="63" width="3.5" style="1" customWidth="1"/>
    <col min="64" max="65" width="9" style="1"/>
    <col min="66" max="66" width="3.625" style="1" customWidth="1"/>
    <col min="67" max="67" width="10.875" style="1" customWidth="1"/>
    <col min="68" max="68" width="10.25" style="1" customWidth="1"/>
    <col min="69" max="69" width="3.375" style="1" customWidth="1"/>
    <col min="70" max="71" width="11.25" style="1" customWidth="1"/>
    <col min="72" max="16384" width="9" style="1"/>
  </cols>
  <sheetData>
    <row r="1" spans="1:71" s="479" customFormat="1" ht="74.25" customHeight="1" thickTop="1" thickBot="1" x14ac:dyDescent="0.35">
      <c r="A1" s="30" t="str">
        <f>'Input Page'!C4</f>
        <v>EXAMPLE</v>
      </c>
      <c r="B1" s="835" t="s">
        <v>174</v>
      </c>
      <c r="C1" s="835" t="s">
        <v>67</v>
      </c>
      <c r="D1" s="846" t="s">
        <v>68</v>
      </c>
      <c r="E1" s="815" t="s">
        <v>86</v>
      </c>
      <c r="F1" s="833" t="s">
        <v>87</v>
      </c>
      <c r="G1" s="166"/>
      <c r="H1" s="167"/>
      <c r="I1" s="168"/>
      <c r="J1" s="168"/>
      <c r="K1" s="168"/>
      <c r="L1" s="928" t="s">
        <v>38</v>
      </c>
      <c r="M1" s="929"/>
      <c r="N1" s="929"/>
      <c r="O1" s="929"/>
      <c r="P1" s="923" t="s">
        <v>39</v>
      </c>
      <c r="Q1" s="924"/>
      <c r="R1" s="924"/>
      <c r="S1" s="925"/>
      <c r="T1" s="934" t="s">
        <v>25</v>
      </c>
      <c r="U1" s="935"/>
      <c r="V1" s="1"/>
      <c r="W1" s="926" t="s">
        <v>141</v>
      </c>
      <c r="X1" s="927"/>
      <c r="Y1" s="927"/>
      <c r="Z1" s="547"/>
      <c r="AA1" s="969" t="s">
        <v>27</v>
      </c>
      <c r="AB1" s="969"/>
      <c r="AC1" s="969"/>
      <c r="AD1" s="969"/>
      <c r="AE1" s="969"/>
      <c r="AF1" s="547"/>
      <c r="AG1" s="969" t="s">
        <v>11</v>
      </c>
      <c r="AH1" s="969"/>
      <c r="AI1" s="969"/>
      <c r="AJ1" s="969"/>
      <c r="AK1" s="970"/>
      <c r="AL1" s="56"/>
      <c r="AM1" s="959" t="s">
        <v>96</v>
      </c>
      <c r="AN1" s="960"/>
      <c r="AO1" s="960"/>
      <c r="AP1" s="960"/>
      <c r="AQ1" s="960"/>
      <c r="AR1" s="960"/>
      <c r="AS1" s="960"/>
      <c r="AT1" s="960"/>
      <c r="AU1" s="960"/>
      <c r="AV1" s="960"/>
      <c r="AW1" s="960"/>
      <c r="AX1" s="960"/>
      <c r="AY1" s="960"/>
      <c r="AZ1" s="960"/>
      <c r="BA1" s="960"/>
      <c r="BB1" s="960"/>
      <c r="BC1" s="960"/>
      <c r="BD1" s="960"/>
      <c r="BE1" s="960"/>
      <c r="BF1" s="960"/>
      <c r="BG1" s="960"/>
      <c r="BH1" s="960"/>
      <c r="BI1" s="960"/>
      <c r="BJ1" s="960"/>
      <c r="BK1" s="960"/>
      <c r="BL1" s="960"/>
      <c r="BM1" s="961"/>
    </row>
    <row r="2" spans="1:71" s="479" customFormat="1" ht="27.75" customHeight="1" thickTop="1" thickBot="1" x14ac:dyDescent="0.35">
      <c r="A2" s="405" t="str">
        <f>'Input Page'!G4</f>
        <v>ZX1000</v>
      </c>
      <c r="B2" s="836"/>
      <c r="C2" s="836"/>
      <c r="D2" s="847"/>
      <c r="E2" s="816"/>
      <c r="F2" s="834"/>
      <c r="G2" s="167"/>
      <c r="H2" s="167"/>
      <c r="I2" s="168"/>
      <c r="J2" s="168"/>
      <c r="K2" s="168"/>
      <c r="L2" s="871" t="s">
        <v>12</v>
      </c>
      <c r="M2" s="873" t="s">
        <v>13</v>
      </c>
      <c r="N2" s="873" t="s">
        <v>126</v>
      </c>
      <c r="O2" s="873" t="s">
        <v>127</v>
      </c>
      <c r="P2" s="873" t="s">
        <v>128</v>
      </c>
      <c r="Q2" s="930" t="s">
        <v>129</v>
      </c>
      <c r="R2" s="875" t="s">
        <v>26</v>
      </c>
      <c r="S2" s="876"/>
      <c r="T2" s="936"/>
      <c r="U2" s="937"/>
      <c r="V2" s="1"/>
      <c r="W2" s="888" t="s">
        <v>125</v>
      </c>
      <c r="X2" s="889" t="s">
        <v>130</v>
      </c>
      <c r="Y2" s="889" t="s">
        <v>131</v>
      </c>
      <c r="Z2" s="2"/>
      <c r="AA2" s="897" t="s">
        <v>132</v>
      </c>
      <c r="AB2" s="895" t="s">
        <v>135</v>
      </c>
      <c r="AC2" s="896" t="s">
        <v>134</v>
      </c>
      <c r="AD2" s="898" t="s">
        <v>137</v>
      </c>
      <c r="AE2" s="899" t="s">
        <v>139</v>
      </c>
      <c r="AF2" s="2"/>
      <c r="AG2" s="897" t="s">
        <v>132</v>
      </c>
      <c r="AH2" s="895" t="s">
        <v>140</v>
      </c>
      <c r="AI2" s="896" t="s">
        <v>134</v>
      </c>
      <c r="AJ2" s="898" t="s">
        <v>137</v>
      </c>
      <c r="AK2" s="971" t="s">
        <v>139</v>
      </c>
      <c r="AL2" s="111"/>
      <c r="AM2" s="868" t="s">
        <v>120</v>
      </c>
      <c r="AN2" s="516"/>
      <c r="AO2" s="880" t="s">
        <v>97</v>
      </c>
      <c r="AP2" s="881"/>
      <c r="AQ2" s="881"/>
      <c r="AR2" s="881"/>
      <c r="AS2" s="882"/>
      <c r="AT2" s="517"/>
      <c r="AU2" s="964" t="s">
        <v>113</v>
      </c>
      <c r="AV2" s="965"/>
      <c r="AW2" s="965"/>
      <c r="AX2" s="965"/>
      <c r="AY2" s="966"/>
      <c r="AZ2" s="517"/>
      <c r="BA2" s="877" t="s">
        <v>118</v>
      </c>
      <c r="BB2" s="878"/>
      <c r="BC2" s="878"/>
      <c r="BD2" s="879"/>
      <c r="BE2" s="518"/>
      <c r="BF2" s="890" t="s">
        <v>106</v>
      </c>
      <c r="BG2" s="891"/>
      <c r="BH2" s="891"/>
      <c r="BI2" s="892"/>
      <c r="BJ2" s="570"/>
      <c r="BK2" s="518"/>
      <c r="BL2" s="518"/>
      <c r="BM2" s="520"/>
      <c r="BR2" s="885" t="s">
        <v>210</v>
      </c>
      <c r="BS2" s="886"/>
    </row>
    <row r="3" spans="1:71" ht="19.5" customHeight="1" thickBot="1" x14ac:dyDescent="0.25">
      <c r="A3" s="837" t="s">
        <v>153</v>
      </c>
      <c r="B3" s="838"/>
      <c r="C3" s="838"/>
      <c r="D3" s="838"/>
      <c r="E3" s="838"/>
      <c r="F3" s="839"/>
      <c r="G3" s="167"/>
      <c r="H3" s="167"/>
      <c r="I3" s="168"/>
      <c r="J3" s="168"/>
      <c r="K3" s="168"/>
      <c r="L3" s="872"/>
      <c r="M3" s="874"/>
      <c r="N3" s="874"/>
      <c r="O3" s="874"/>
      <c r="P3" s="874"/>
      <c r="Q3" s="931"/>
      <c r="R3" s="3" t="s">
        <v>4</v>
      </c>
      <c r="S3" s="4" t="s">
        <v>5</v>
      </c>
      <c r="T3" s="932" t="s">
        <v>6</v>
      </c>
      <c r="U3" s="933"/>
      <c r="W3" s="888"/>
      <c r="X3" s="889"/>
      <c r="Y3" s="889"/>
      <c r="Z3" s="2"/>
      <c r="AA3" s="897"/>
      <c r="AB3" s="895"/>
      <c r="AC3" s="896"/>
      <c r="AD3" s="898"/>
      <c r="AE3" s="899"/>
      <c r="AF3" s="2"/>
      <c r="AG3" s="897"/>
      <c r="AH3" s="895"/>
      <c r="AI3" s="896"/>
      <c r="AJ3" s="898"/>
      <c r="AK3" s="971"/>
      <c r="AL3" s="111"/>
      <c r="AM3" s="869"/>
      <c r="AN3" s="52"/>
      <c r="AO3" s="867" t="s">
        <v>98</v>
      </c>
      <c r="AP3" s="870" t="s">
        <v>99</v>
      </c>
      <c r="AQ3" s="870" t="s">
        <v>100</v>
      </c>
      <c r="AR3" s="870" t="s">
        <v>101</v>
      </c>
      <c r="AS3" s="908" t="s">
        <v>102</v>
      </c>
      <c r="AT3" s="48"/>
      <c r="AU3" s="867" t="s">
        <v>98</v>
      </c>
      <c r="AV3" s="910" t="s">
        <v>103</v>
      </c>
      <c r="AW3" s="910"/>
      <c r="AX3" s="865" t="s">
        <v>104</v>
      </c>
      <c r="AY3" s="866" t="s">
        <v>105</v>
      </c>
      <c r="AZ3" s="47"/>
      <c r="BA3" s="905" t="s">
        <v>99</v>
      </c>
      <c r="BB3" s="906" t="s">
        <v>111</v>
      </c>
      <c r="BC3" s="909" t="s">
        <v>101</v>
      </c>
      <c r="BD3" s="907" t="s">
        <v>102</v>
      </c>
      <c r="BE3" s="2"/>
      <c r="BF3" s="904" t="s">
        <v>101</v>
      </c>
      <c r="BG3" s="887" t="s">
        <v>102</v>
      </c>
      <c r="BH3" s="59" t="s">
        <v>107</v>
      </c>
      <c r="BI3" s="127"/>
      <c r="BJ3" s="59"/>
      <c r="BK3" s="2"/>
      <c r="BL3" s="848" t="s">
        <v>112</v>
      </c>
      <c r="BM3" s="893" t="s">
        <v>119</v>
      </c>
      <c r="BN3" s="119"/>
      <c r="BO3" s="848" t="s">
        <v>228</v>
      </c>
      <c r="BP3" s="850" t="s">
        <v>229</v>
      </c>
      <c r="BR3" s="883" t="s">
        <v>123</v>
      </c>
      <c r="BS3" s="884"/>
    </row>
    <row r="4" spans="1:71" ht="20.100000000000001" customHeight="1" x14ac:dyDescent="0.35">
      <c r="A4" s="169" t="s">
        <v>84</v>
      </c>
      <c r="B4" s="170">
        <f>+'Input Page'!D32</f>
        <v>54.936</v>
      </c>
      <c r="C4" s="171">
        <f>+'Input Page'!E32</f>
        <v>9.9999999999999992E-25</v>
      </c>
      <c r="D4" s="171">
        <f>+'Input Page'!F32</f>
        <v>2.74</v>
      </c>
      <c r="E4" s="170">
        <f>+'Input Page'!G32</f>
        <v>-150.52464000000001</v>
      </c>
      <c r="F4" s="172">
        <f>+'Input Page'!H32</f>
        <v>0</v>
      </c>
      <c r="G4" s="167"/>
      <c r="H4" s="167"/>
      <c r="I4" s="168"/>
      <c r="J4" s="168"/>
      <c r="K4" s="168"/>
      <c r="L4" s="872"/>
      <c r="M4" s="874"/>
      <c r="N4" s="874"/>
      <c r="O4" s="874"/>
      <c r="P4" s="874"/>
      <c r="Q4" s="931"/>
      <c r="R4" s="3" t="s">
        <v>7</v>
      </c>
      <c r="S4" s="5" t="s">
        <v>8</v>
      </c>
      <c r="T4" s="3" t="s">
        <v>9</v>
      </c>
      <c r="U4" s="6" t="s">
        <v>10</v>
      </c>
      <c r="W4" s="888"/>
      <c r="X4" s="889"/>
      <c r="Y4" s="889"/>
      <c r="Z4" s="2"/>
      <c r="AA4" s="88" t="s">
        <v>144</v>
      </c>
      <c r="AB4" s="86" t="s">
        <v>133</v>
      </c>
      <c r="AC4" s="88" t="s">
        <v>136</v>
      </c>
      <c r="AD4" s="88" t="s">
        <v>138</v>
      </c>
      <c r="AE4" s="88" t="s">
        <v>143</v>
      </c>
      <c r="AF4" s="2"/>
      <c r="AG4" s="88" t="s">
        <v>145</v>
      </c>
      <c r="AH4" s="86" t="s">
        <v>133</v>
      </c>
      <c r="AI4" s="88" t="s">
        <v>136</v>
      </c>
      <c r="AJ4" s="88" t="s">
        <v>138</v>
      </c>
      <c r="AK4" s="548" t="s">
        <v>143</v>
      </c>
      <c r="AL4" s="112"/>
      <c r="AM4" s="869"/>
      <c r="AN4" s="52"/>
      <c r="AO4" s="867"/>
      <c r="AP4" s="870"/>
      <c r="AQ4" s="870"/>
      <c r="AR4" s="870"/>
      <c r="AS4" s="908"/>
      <c r="AT4" s="49"/>
      <c r="AU4" s="867"/>
      <c r="AV4" s="967" t="s">
        <v>99</v>
      </c>
      <c r="AW4" s="967" t="s">
        <v>100</v>
      </c>
      <c r="AX4" s="865"/>
      <c r="AY4" s="866"/>
      <c r="AZ4" s="47"/>
      <c r="BA4" s="905"/>
      <c r="BB4" s="906"/>
      <c r="BC4" s="909"/>
      <c r="BD4" s="907"/>
      <c r="BE4" s="2"/>
      <c r="BF4" s="904"/>
      <c r="BG4" s="887"/>
      <c r="BH4" s="900" t="s">
        <v>108</v>
      </c>
      <c r="BI4" s="902" t="s">
        <v>109</v>
      </c>
      <c r="BJ4" s="887" t="s">
        <v>124</v>
      </c>
      <c r="BK4" s="2"/>
      <c r="BL4" s="849"/>
      <c r="BM4" s="894"/>
      <c r="BN4" s="119"/>
      <c r="BO4" s="849"/>
      <c r="BP4" s="851"/>
      <c r="BR4" s="883"/>
      <c r="BS4" s="884"/>
    </row>
    <row r="5" spans="1:71" ht="20.100000000000001" customHeight="1" thickBot="1" x14ac:dyDescent="0.25">
      <c r="A5" s="630" t="s">
        <v>236</v>
      </c>
      <c r="B5" s="173">
        <f>+'Input Page'!D34</f>
        <v>70.141499999999994</v>
      </c>
      <c r="C5" s="174">
        <f>+'Input Page'!E34</f>
        <v>-0.30069930069930073</v>
      </c>
      <c r="D5" s="174">
        <f>+'Input Page'!F34</f>
        <v>3.4671328671328676</v>
      </c>
      <c r="E5" s="173">
        <f>+'Input Page'!G34</f>
        <v>-243.18990000000002</v>
      </c>
      <c r="F5" s="175">
        <f>+'Input Page'!H34</f>
        <v>-21.0915</v>
      </c>
      <c r="G5" s="167"/>
      <c r="H5" s="167"/>
      <c r="I5" s="176"/>
      <c r="J5" s="176"/>
      <c r="K5" s="176"/>
      <c r="L5" s="872"/>
      <c r="M5" s="874"/>
      <c r="N5" s="874"/>
      <c r="O5" s="874"/>
      <c r="P5" s="874"/>
      <c r="Q5" s="931"/>
      <c r="R5" s="81"/>
      <c r="S5" s="82"/>
      <c r="T5" s="83"/>
      <c r="U5" s="6"/>
      <c r="W5" s="888"/>
      <c r="X5" s="889"/>
      <c r="Y5" s="889"/>
      <c r="Z5" s="2"/>
      <c r="AA5" s="88" t="s">
        <v>146</v>
      </c>
      <c r="AB5" s="87" t="s">
        <v>7</v>
      </c>
      <c r="AC5" s="86" t="s">
        <v>7</v>
      </c>
      <c r="AD5" s="88" t="s">
        <v>7</v>
      </c>
      <c r="AE5" s="88" t="s">
        <v>142</v>
      </c>
      <c r="AF5" s="2"/>
      <c r="AG5" s="88" t="s">
        <v>146</v>
      </c>
      <c r="AH5" s="87" t="s">
        <v>7</v>
      </c>
      <c r="AI5" s="86" t="s">
        <v>7</v>
      </c>
      <c r="AJ5" s="88" t="s">
        <v>7</v>
      </c>
      <c r="AK5" s="548" t="s">
        <v>142</v>
      </c>
      <c r="AL5" s="112"/>
      <c r="AM5" s="869"/>
      <c r="AN5" s="52"/>
      <c r="AO5" s="867"/>
      <c r="AP5" s="870"/>
      <c r="AQ5" s="870"/>
      <c r="AR5" s="870"/>
      <c r="AS5" s="908"/>
      <c r="AT5" s="48"/>
      <c r="AU5" s="867"/>
      <c r="AV5" s="968"/>
      <c r="AW5" s="968"/>
      <c r="AX5" s="865"/>
      <c r="AY5" s="866"/>
      <c r="AZ5" s="47"/>
      <c r="BA5" s="905"/>
      <c r="BB5" s="906"/>
      <c r="BC5" s="909"/>
      <c r="BD5" s="907"/>
      <c r="BE5" s="2"/>
      <c r="BF5" s="904"/>
      <c r="BG5" s="887"/>
      <c r="BH5" s="901"/>
      <c r="BI5" s="903"/>
      <c r="BJ5" s="887"/>
      <c r="BK5" s="2"/>
      <c r="BL5" s="849"/>
      <c r="BM5" s="894"/>
      <c r="BN5" s="119"/>
      <c r="BO5" s="849"/>
      <c r="BP5" s="851"/>
      <c r="BR5" s="507" t="s">
        <v>121</v>
      </c>
      <c r="BS5" s="512" t="s">
        <v>122</v>
      </c>
    </row>
    <row r="6" spans="1:71" ht="20.100000000000001" customHeight="1" x14ac:dyDescent="0.25">
      <c r="A6" s="177" t="s">
        <v>83</v>
      </c>
      <c r="B6" s="178">
        <f>+'Input Page'!D35</f>
        <v>39.24</v>
      </c>
      <c r="C6" s="179">
        <f>+'Input Page'!E35</f>
        <v>9.9999999999999992E-25</v>
      </c>
      <c r="D6" s="179">
        <f>+'Input Page'!F35</f>
        <v>-2.4500000000000002</v>
      </c>
      <c r="E6" s="178">
        <f>+'Input Page'!G35</f>
        <v>96.138000000000005</v>
      </c>
      <c r="F6" s="180">
        <f>+'Input Page'!H35</f>
        <v>0</v>
      </c>
      <c r="G6" s="817" t="s">
        <v>90</v>
      </c>
      <c r="H6" s="921" t="s">
        <v>89</v>
      </c>
      <c r="I6" s="181"/>
      <c r="J6" s="182"/>
      <c r="K6" s="176"/>
      <c r="L6" s="412">
        <v>0</v>
      </c>
      <c r="M6" s="7">
        <f t="shared" ref="M6:M29" si="0">+IF(ABS(BI6)&gt;$I$26/2,"ERROR",IF(ABS(BI6)&gt;$I$26/6,$B$27/(3*($I$26/2-ABS(BI6))*2*$I$27),$B$27/(2*$I$26*$I$27)))</f>
        <v>128.95860164885224</v>
      </c>
      <c r="N6" s="7">
        <f t="shared" ref="N6:N29" si="1">+((($I$28/2)-$BH6)*Y6*2)/$I$28</f>
        <v>304.43954261212622</v>
      </c>
      <c r="O6" s="7">
        <f t="shared" ref="O6:O29" si="2">+((($I$28/2)-$BH6)*X6*2)/$I$28</f>
        <v>0</v>
      </c>
      <c r="P6" s="7">
        <f t="shared" ref="P6:P29" si="3">+(BH6+$I$28/2)*Y6*2/$I$28</f>
        <v>211.39486398328287</v>
      </c>
      <c r="Q6" s="8">
        <f t="shared" ref="Q6:Q29" si="4">+((BH6+$I$28/2)*X6*2)/$I$28</f>
        <v>0</v>
      </c>
      <c r="R6" s="77">
        <f>+IF(N6&gt;P6,AB6,AH6)</f>
        <v>1.1757705036527697</v>
      </c>
      <c r="S6" s="78">
        <f>+IF(N6&gt;P6,AC6,AI6)</f>
        <v>2.1936884890416906</v>
      </c>
      <c r="T6" s="80">
        <f>+IF(N6&gt;P6,AD6,AJ6)</f>
        <v>1.4624589926944607</v>
      </c>
      <c r="U6" s="79">
        <f>+MAX(AE6,AK6)</f>
        <v>228.32965695909468</v>
      </c>
      <c r="W6" s="549" t="str">
        <f>+IF(BI6&lt;0,"Max @ Rear","Max @ Front")</f>
        <v>Max @ Front</v>
      </c>
      <c r="X6" s="76">
        <f>+IF(ABS(BI6)&gt;$I$26/2,"ERROR",IF(ABS(BH6)&gt;$I$28/2,"ERROR",IF(ABS(BI6)&lt;$I$26/6,($B$27/(2*$I$27*$I$26)*(1-(6*ABS(BI6)/$I$26))),0)))</f>
        <v>0</v>
      </c>
      <c r="Y6" s="76">
        <f>+IF(ABS(BI6)&gt;$I$26/2,"ERROR",IF(ABS(BH6)&gt;$I$28/2,"ERROR",IF(ABS(BI6)&lt;$I$26/6,($B$27/(2*$I$27*$I$26)*(1+(6*ABS(BI6)/$I$26))),($B$27/(3*$I$27*($I$26/2-ABS(BI6)))))))</f>
        <v>257.91720329770453</v>
      </c>
      <c r="Z6" s="2"/>
      <c r="AA6" s="115">
        <f t="shared" ref="AA6:AA30" si="5">+(($I$28/2-BH6)*$B$27)/($I$28)</f>
        <v>233.74593208306845</v>
      </c>
      <c r="AB6" s="90">
        <f>+BI6</f>
        <v>1.1757705036527697</v>
      </c>
      <c r="AC6" s="91">
        <f t="shared" ref="AC6:AC30" si="6">+IF(O6&gt;0,$I$26,AA6/(N6*$I$27*0.5))</f>
        <v>2.1936884890416906</v>
      </c>
      <c r="AD6" s="92">
        <f t="shared" ref="AD6:AD30" si="7">+($I$26/2-ABS(AB6))*2</f>
        <v>1.4624589926944607</v>
      </c>
      <c r="AE6" s="43">
        <f t="shared" ref="AE6:AE30" si="8">+IF(O6&gt;0,((O6*$I$26)+((N6-O6)*$I$26/2))/AD6,3*N6/4)</f>
        <v>228.32965695909468</v>
      </c>
      <c r="AF6" s="2"/>
      <c r="AG6" s="89">
        <f t="shared" ref="AG6:AG30" si="9">+$B$27-AA6</f>
        <v>162.30706791693154</v>
      </c>
      <c r="AH6" s="90">
        <f>+BI6</f>
        <v>1.1757705036527697</v>
      </c>
      <c r="AI6" s="91">
        <f t="shared" ref="AI6:AI30" si="10">+IF(O6&gt;0,$I$26,AA6/(N6*$I$27*0.5))</f>
        <v>2.1936884890416906</v>
      </c>
      <c r="AJ6" s="92">
        <f t="shared" ref="AJ6:AJ30" si="11">+($I$26/2-ABS(AH6))*2</f>
        <v>1.4624589926944607</v>
      </c>
      <c r="AK6" s="550">
        <f t="shared" ref="AK6:AK30" si="12">+IF(Q6&gt;0,((Q6*$I$26)+((P6-Q6)*$I$26/2))/AJ6,3*P6/4)</f>
        <v>158.54614798746215</v>
      </c>
      <c r="AL6" s="42"/>
      <c r="AM6" s="521">
        <f t="shared" ref="AM6:AM29" si="13">+L6</f>
        <v>0</v>
      </c>
      <c r="AN6" s="522"/>
      <c r="AO6" s="60">
        <f>+B24</f>
        <v>98.1</v>
      </c>
      <c r="AP6" s="74">
        <f>+C24</f>
        <v>0</v>
      </c>
      <c r="AQ6" s="74">
        <f>+D24</f>
        <v>0</v>
      </c>
      <c r="AR6" s="61">
        <f>+E24</f>
        <v>0</v>
      </c>
      <c r="AS6" s="62">
        <f>+F24</f>
        <v>0</v>
      </c>
      <c r="AT6" s="67"/>
      <c r="AU6" s="63">
        <f t="shared" ref="AU6:AU30" si="14">+$B$16</f>
        <v>297.95299999999997</v>
      </c>
      <c r="AV6" s="64">
        <f t="shared" ref="AV6:AV30" si="15">+$C$16</f>
        <v>-0.39561315332997449</v>
      </c>
      <c r="AW6" s="64">
        <f t="shared" ref="AW6:AW30" si="16">+$D$16</f>
        <v>1.5628888961788954</v>
      </c>
      <c r="AX6" s="68">
        <f>+DEGREES(ATAN(AV6/AW6))</f>
        <v>-14.204873937741402</v>
      </c>
      <c r="AY6" s="72">
        <f>+(AV6^2+AW6^2)^0.5</f>
        <v>1.6121822070991145</v>
      </c>
      <c r="AZ6" s="523"/>
      <c r="BA6" s="65">
        <f>+AY6*(SIN(RADIANS(AX6+AM6)))</f>
        <v>-0.39561315332997449</v>
      </c>
      <c r="BB6" s="66">
        <f>+AY6*(COS(RADIANS(AX6+AM6)))</f>
        <v>1.5628888961788954</v>
      </c>
      <c r="BC6" s="117">
        <f>+BB6*AU6*-1</f>
        <v>-465.6674352831904</v>
      </c>
      <c r="BD6" s="62">
        <f>+BA6*AU6</f>
        <v>-117.87412587412588</v>
      </c>
      <c r="BE6" s="67"/>
      <c r="BF6" s="60">
        <f>+BC6+AR6</f>
        <v>-465.6674352831904</v>
      </c>
      <c r="BG6" s="61">
        <f>+BD6+AS6</f>
        <v>-117.87412587412588</v>
      </c>
      <c r="BH6" s="116">
        <f>+IF(BG6=0,1E-24/(AO6+AU6),(BG6/(AO6+AU6)))</f>
        <v>-0.29762210076460949</v>
      </c>
      <c r="BI6" s="128">
        <f>+IF(BF6=0,1E-24/(AO6+AU6)*-1,BF6/(AO6+AU6)*-1)</f>
        <v>1.1757705036527697</v>
      </c>
      <c r="BJ6" s="66" t="str">
        <f t="shared" ref="BJ6:BJ30" si="17">+IF(ABS(BI6)&gt;($I$26/6),"yes","no")</f>
        <v>yes</v>
      </c>
      <c r="BK6" s="2"/>
      <c r="BL6" s="71">
        <f>+(BF6^2+BG6^2)^0.5</f>
        <v>480.35452515180242</v>
      </c>
      <c r="BM6" s="524">
        <f>+DEGREES(ATAN(BH6/BI6))</f>
        <v>-14.204873937741402</v>
      </c>
      <c r="BN6" s="120"/>
      <c r="BO6" s="577">
        <f>+ABS(BH6/($I$28/2))</f>
        <v>0.18037703076643</v>
      </c>
      <c r="BP6" s="578">
        <f>+ABS(BI6)/($I$26/2)</f>
        <v>0.61655506221959611</v>
      </c>
      <c r="BR6" s="507" t="str">
        <f>+IF(ABS(BI6)&gt;$I$26/2,"YES-ERROR","NO-OK")</f>
        <v>NO-OK</v>
      </c>
      <c r="BS6" s="512" t="str">
        <f>+IF(ABS(BH6)&gt;$I$28/2,"YES-ERROR","NO-OK")</f>
        <v>NO-OK</v>
      </c>
    </row>
    <row r="7" spans="1:71" ht="20.100000000000001" customHeight="1" x14ac:dyDescent="0.25">
      <c r="A7" s="183" t="s">
        <v>85</v>
      </c>
      <c r="B7" s="184">
        <f>+'Input Page'!D36</f>
        <v>9.9999999999999992E-25</v>
      </c>
      <c r="C7" s="185">
        <f>+'Input Page'!E36</f>
        <v>9.9999999999999992E-25</v>
      </c>
      <c r="D7" s="185">
        <f>+'Input Page'!F36</f>
        <v>9.9999999999999992E-25</v>
      </c>
      <c r="E7" s="184">
        <f>+'Input Page'!G36</f>
        <v>0</v>
      </c>
      <c r="F7" s="186">
        <f>+'Input Page'!H36</f>
        <v>0</v>
      </c>
      <c r="G7" s="818"/>
      <c r="H7" s="922"/>
      <c r="I7" s="181"/>
      <c r="J7" s="182"/>
      <c r="K7" s="176"/>
      <c r="L7" s="413">
        <f>+IF('Input Page'!$G$68="YES",Extracting!L6+15,0)</f>
        <v>15</v>
      </c>
      <c r="M7" s="9">
        <f t="shared" si="0"/>
        <v>135.82515943303639</v>
      </c>
      <c r="N7" s="9">
        <f t="shared" si="1"/>
        <v>268.87933325696451</v>
      </c>
      <c r="O7" s="9">
        <f t="shared" si="2"/>
        <v>0</v>
      </c>
      <c r="P7" s="9">
        <f t="shared" si="3"/>
        <v>274.42130447518105</v>
      </c>
      <c r="Q7" s="10">
        <f t="shared" si="4"/>
        <v>0</v>
      </c>
      <c r="R7" s="11">
        <f t="shared" ref="R7:R29" si="18">+IF(N7&gt;P7,AB7,AH7)</f>
        <v>1.2127373631884182</v>
      </c>
      <c r="S7" s="12">
        <f t="shared" ref="S7:S29" si="19">+IF(N7&gt;P7,AC7,AI7)</f>
        <v>2.0827879104347451</v>
      </c>
      <c r="T7" s="13">
        <f t="shared" ref="T7:T29" si="20">+IF(N7&gt;P7,AD7,AJ7)</f>
        <v>1.3885252736231637</v>
      </c>
      <c r="U7" s="14">
        <f t="shared" ref="U7:U29" si="21">+MAX(AE7,AK7)</f>
        <v>205.81597835638578</v>
      </c>
      <c r="W7" s="549" t="str">
        <f t="shared" ref="W7:W29" si="22">+IF(BI7&lt;0,"Max @ Rear","Max @ Front")</f>
        <v>Max @ Front</v>
      </c>
      <c r="X7" s="76">
        <f t="shared" ref="X7:X30" si="23">+IF(ABS(BI7)&gt;$I$26/2,"ERROR",IF(ABS(BH7)&gt;$I$28/2,"ERROR",IF(ABS(BI7)&lt;$I$26/6,($B$27/(2*$I$27*$I$26)*(1-(6*ABS(BI7)/$I$26))),0)))</f>
        <v>0</v>
      </c>
      <c r="Y7" s="76">
        <f t="shared" ref="Y7:Y30" si="24">+IF(ABS(BI7)&gt;$I$26/2,"ERROR",IF(ABS(BH7)&gt;$I$28/2,"ERROR",IF(ABS(BI7)&lt;$I$26/6,($B$27/(2*$I$27*$I$26)*(1+(6*ABS(BI7)/$I$26))),($B$27/(3*$I$27*($I$26/2-ABS(BI7)))))))</f>
        <v>271.65031886607278</v>
      </c>
      <c r="Z7" s="2"/>
      <c r="AA7" s="89">
        <f t="shared" si="5"/>
        <v>196.0065186356762</v>
      </c>
      <c r="AB7" s="90">
        <f t="shared" ref="AB7:AB30" si="25">+BI7</f>
        <v>1.2127373631884182</v>
      </c>
      <c r="AC7" s="91">
        <f t="shared" si="6"/>
        <v>2.0827879104347451</v>
      </c>
      <c r="AD7" s="92">
        <f t="shared" si="7"/>
        <v>1.3885252736231637</v>
      </c>
      <c r="AE7" s="43">
        <f t="shared" si="8"/>
        <v>201.65949994272339</v>
      </c>
      <c r="AF7" s="2"/>
      <c r="AG7" s="89">
        <f t="shared" si="9"/>
        <v>200.0464813643238</v>
      </c>
      <c r="AH7" s="90">
        <f t="shared" ref="AH7:AH30" si="26">+BI7</f>
        <v>1.2127373631884182</v>
      </c>
      <c r="AI7" s="91">
        <f t="shared" si="10"/>
        <v>2.0827879104347451</v>
      </c>
      <c r="AJ7" s="92">
        <f t="shared" si="11"/>
        <v>1.3885252736231637</v>
      </c>
      <c r="AK7" s="550">
        <f t="shared" si="12"/>
        <v>205.81597835638578</v>
      </c>
      <c r="AL7" s="42"/>
      <c r="AM7" s="525">
        <f t="shared" si="13"/>
        <v>15</v>
      </c>
      <c r="AN7" s="526"/>
      <c r="AO7" s="54">
        <f>+AO$6</f>
        <v>98.1</v>
      </c>
      <c r="AP7" s="75">
        <f t="shared" ref="AP7:AS22" si="27">+AP$6</f>
        <v>0</v>
      </c>
      <c r="AQ7" s="75">
        <f t="shared" si="27"/>
        <v>0</v>
      </c>
      <c r="AR7" s="53">
        <f t="shared" si="27"/>
        <v>0</v>
      </c>
      <c r="AS7" s="55">
        <f t="shared" si="27"/>
        <v>0</v>
      </c>
      <c r="AT7" s="2"/>
      <c r="AU7" s="51">
        <f t="shared" si="14"/>
        <v>297.95299999999997</v>
      </c>
      <c r="AV7" s="50">
        <f t="shared" si="15"/>
        <v>-0.39561315332997449</v>
      </c>
      <c r="AW7" s="50">
        <f t="shared" si="16"/>
        <v>1.5628888961788954</v>
      </c>
      <c r="AX7" s="69">
        <f t="shared" ref="AX7:AX30" si="28">+DEGREES(ATAN(AV7/AW7))</f>
        <v>-14.204873937741402</v>
      </c>
      <c r="AY7" s="73">
        <f t="shared" ref="AY7:AY30" si="29">+(AV7^2+AW7^2)^0.5</f>
        <v>1.6121822070991145</v>
      </c>
      <c r="AZ7" s="527"/>
      <c r="BA7" s="58">
        <f t="shared" ref="BA7:BA30" si="30">+AY7*(SIN(RADIANS(AX7+AM7)))</f>
        <v>2.2372449689274921E-2</v>
      </c>
      <c r="BB7" s="57">
        <f t="shared" ref="BB7:BB30" si="31">+AY7*(COS(RADIANS(AX7+AM7)))</f>
        <v>1.6120269670144707</v>
      </c>
      <c r="BC7" s="53">
        <f t="shared" ref="BC7:BC30" si="32">+BB7*AU7*-1</f>
        <v>-480.30827090286255</v>
      </c>
      <c r="BD7" s="55">
        <f t="shared" ref="BD7:BD30" si="33">+BA7*AU7</f>
        <v>6.6659385022685296</v>
      </c>
      <c r="BE7" s="2"/>
      <c r="BF7" s="54">
        <f t="shared" ref="BF7:BG30" si="34">+BC7+AR7</f>
        <v>-480.30827090286255</v>
      </c>
      <c r="BG7" s="53">
        <f t="shared" si="34"/>
        <v>6.6659385022685296</v>
      </c>
      <c r="BH7" s="57">
        <f t="shared" ref="BH7:BH30" si="35">+IF(BG7=0,1E-24/(AO7+AU7),(BG7/(AO7+AU7)))</f>
        <v>1.683092541217597E-2</v>
      </c>
      <c r="BI7" s="129">
        <f t="shared" ref="BI7:BI30" si="36">+IF(BF7=0,1E-24/(AO7+AU7)*-1,BF7/(AO7+AU7)*-1)</f>
        <v>1.2127373631884182</v>
      </c>
      <c r="BJ7" s="66" t="str">
        <f t="shared" si="17"/>
        <v>yes</v>
      </c>
      <c r="BK7" s="2"/>
      <c r="BL7" s="70">
        <f t="shared" ref="BL7:BL30" si="37">+(BF7^2+BG7^2)^0.5</f>
        <v>480.35452515180248</v>
      </c>
      <c r="BM7" s="528">
        <f t="shared" ref="BM7:BM30" si="38">+DEGREES(ATAN(BH7/BI7))</f>
        <v>0.79512606225859783</v>
      </c>
      <c r="BN7" s="121"/>
      <c r="BO7" s="577">
        <f t="shared" ref="BO7:BO30" si="39">+ABS(BH7/($I$28/2))</f>
        <v>1.0200560855864226E-2</v>
      </c>
      <c r="BP7" s="578">
        <f t="shared" ref="BP7:BP30" si="40">+ABS(BI7)/($I$26/2)</f>
        <v>0.6359398863075082</v>
      </c>
      <c r="BR7" s="507" t="str">
        <f t="shared" ref="BR7:BR30" si="41">+IF(ABS(BI7)&gt;$I$26/2,"YES-ERROR","NO-OK")</f>
        <v>NO-OK</v>
      </c>
      <c r="BS7" s="512" t="str">
        <f t="shared" ref="BS7:BS30" si="42">+IF(ABS(BH7)&gt;$I$28/2,"YES-ERROR","NO-OK")</f>
        <v>NO-OK</v>
      </c>
    </row>
    <row r="8" spans="1:71" ht="19.5" customHeight="1" thickBot="1" x14ac:dyDescent="0.3">
      <c r="A8" s="187" t="s">
        <v>214</v>
      </c>
      <c r="B8" s="188">
        <f>+'Input Page'!D33</f>
        <v>114.777</v>
      </c>
      <c r="C8" s="189">
        <f>+'Input Page'!E33</f>
        <v>9.9999999999999992E-25</v>
      </c>
      <c r="D8" s="189">
        <f>+'Input Page'!F33</f>
        <v>-1.0247287229400814</v>
      </c>
      <c r="E8" s="188">
        <f>+'Input Page'!G33</f>
        <v>117.61528863289372</v>
      </c>
      <c r="F8" s="190">
        <f>+'Input Page'!H33</f>
        <v>0</v>
      </c>
      <c r="G8" s="191"/>
      <c r="H8" s="192"/>
      <c r="I8" s="182"/>
      <c r="J8" s="182"/>
      <c r="K8" s="176"/>
      <c r="L8" s="413">
        <f>+IF('Input Page'!$G$68="YES",Extracting!L7+15,0)</f>
        <v>30</v>
      </c>
      <c r="M8" s="9">
        <f t="shared" si="0"/>
        <v>127.44019897167995</v>
      </c>
      <c r="N8" s="9">
        <f t="shared" si="1"/>
        <v>203.88316299796267</v>
      </c>
      <c r="O8" s="9">
        <f t="shared" si="2"/>
        <v>0</v>
      </c>
      <c r="P8" s="9">
        <f t="shared" si="3"/>
        <v>305.87763288875715</v>
      </c>
      <c r="Q8" s="10">
        <f t="shared" si="4"/>
        <v>0</v>
      </c>
      <c r="R8" s="11">
        <f t="shared" si="18"/>
        <v>1.1670581755660274</v>
      </c>
      <c r="S8" s="12">
        <f t="shared" si="19"/>
        <v>2.2198254733019174</v>
      </c>
      <c r="T8" s="13">
        <f t="shared" si="20"/>
        <v>1.4798836488679452</v>
      </c>
      <c r="U8" s="14">
        <f t="shared" si="21"/>
        <v>229.40822466656786</v>
      </c>
      <c r="W8" s="549" t="str">
        <f t="shared" si="22"/>
        <v>Max @ Front</v>
      </c>
      <c r="X8" s="76">
        <f t="shared" si="23"/>
        <v>0</v>
      </c>
      <c r="Y8" s="76">
        <f t="shared" si="24"/>
        <v>254.88039794335992</v>
      </c>
      <c r="Z8" s="2"/>
      <c r="AA8" s="89">
        <f t="shared" si="5"/>
        <v>158.40476358008556</v>
      </c>
      <c r="AB8" s="90">
        <f t="shared" si="25"/>
        <v>1.1670581755660274</v>
      </c>
      <c r="AC8" s="91">
        <f t="shared" si="6"/>
        <v>2.2198254733019174</v>
      </c>
      <c r="AD8" s="92">
        <f t="shared" si="7"/>
        <v>1.4798836488679452</v>
      </c>
      <c r="AE8" s="43">
        <f t="shared" si="8"/>
        <v>152.912372248472</v>
      </c>
      <c r="AF8" s="2"/>
      <c r="AG8" s="89">
        <f t="shared" si="9"/>
        <v>237.64823641991444</v>
      </c>
      <c r="AH8" s="90">
        <f t="shared" si="26"/>
        <v>1.1670581755660274</v>
      </c>
      <c r="AI8" s="91">
        <f t="shared" si="10"/>
        <v>2.2198254733019174</v>
      </c>
      <c r="AJ8" s="92">
        <f t="shared" si="11"/>
        <v>1.4798836488679452</v>
      </c>
      <c r="AK8" s="550">
        <f t="shared" si="12"/>
        <v>229.40822466656786</v>
      </c>
      <c r="AL8" s="42"/>
      <c r="AM8" s="525">
        <f t="shared" si="13"/>
        <v>30</v>
      </c>
      <c r="AN8" s="526"/>
      <c r="AO8" s="54">
        <f t="shared" ref="AO8:AS30" si="43">+AO$6</f>
        <v>98.1</v>
      </c>
      <c r="AP8" s="75">
        <f t="shared" si="27"/>
        <v>0</v>
      </c>
      <c r="AQ8" s="75">
        <f t="shared" si="27"/>
        <v>0</v>
      </c>
      <c r="AR8" s="53">
        <f t="shared" si="27"/>
        <v>0</v>
      </c>
      <c r="AS8" s="55">
        <f t="shared" si="27"/>
        <v>0</v>
      </c>
      <c r="AT8" s="2"/>
      <c r="AU8" s="51">
        <f t="shared" si="14"/>
        <v>297.95299999999997</v>
      </c>
      <c r="AV8" s="50">
        <f t="shared" si="15"/>
        <v>-0.39561315332997449</v>
      </c>
      <c r="AW8" s="50">
        <f t="shared" si="16"/>
        <v>1.5628888961788954</v>
      </c>
      <c r="AX8" s="69">
        <f t="shared" si="28"/>
        <v>-14.204873937741402</v>
      </c>
      <c r="AY8" s="73">
        <f t="shared" si="29"/>
        <v>1.6121822070991145</v>
      </c>
      <c r="AZ8" s="527"/>
      <c r="BA8" s="58">
        <f t="shared" si="30"/>
        <v>0.43883340723442149</v>
      </c>
      <c r="BB8" s="57">
        <f t="shared" si="31"/>
        <v>1.5513080640485308</v>
      </c>
      <c r="BC8" s="53">
        <f t="shared" si="32"/>
        <v>-462.21689160745188</v>
      </c>
      <c r="BD8" s="55">
        <f t="shared" si="33"/>
        <v>130.75173018571758</v>
      </c>
      <c r="BE8" s="2"/>
      <c r="BF8" s="54">
        <f t="shared" si="34"/>
        <v>-462.21689160745188</v>
      </c>
      <c r="BG8" s="53">
        <f t="shared" si="34"/>
        <v>130.75173018571758</v>
      </c>
      <c r="BH8" s="57">
        <f t="shared" si="35"/>
        <v>0.33013695183654101</v>
      </c>
      <c r="BI8" s="129">
        <f t="shared" si="36"/>
        <v>1.1670581755660274</v>
      </c>
      <c r="BJ8" s="66" t="str">
        <f t="shared" si="17"/>
        <v>yes</v>
      </c>
      <c r="BK8" s="2"/>
      <c r="BL8" s="70">
        <f t="shared" si="37"/>
        <v>480.35452515180242</v>
      </c>
      <c r="BM8" s="528">
        <f t="shared" si="38"/>
        <v>15.795126062258596</v>
      </c>
      <c r="BN8" s="121"/>
      <c r="BO8" s="577">
        <f t="shared" si="39"/>
        <v>0.20008300111305516</v>
      </c>
      <c r="BP8" s="578">
        <f t="shared" si="40"/>
        <v>0.61198645808391583</v>
      </c>
      <c r="BR8" s="507" t="str">
        <f t="shared" si="41"/>
        <v>NO-OK</v>
      </c>
      <c r="BS8" s="512" t="str">
        <f t="shared" si="42"/>
        <v>NO-OK</v>
      </c>
    </row>
    <row r="9" spans="1:71" ht="19.5" customHeight="1" thickBot="1" x14ac:dyDescent="0.3">
      <c r="A9" s="193" t="s">
        <v>220</v>
      </c>
      <c r="B9" s="194">
        <f>+IF(G9&gt;0,+G9-B5,0)</f>
        <v>321.85849999999999</v>
      </c>
      <c r="C9" s="195">
        <f>+'Input Page'!E48</f>
        <v>-0.30069930069930073</v>
      </c>
      <c r="D9" s="195">
        <f>+'Input Page'!F48</f>
        <v>3.4671328671328676</v>
      </c>
      <c r="E9" s="196">
        <f>+B9*D9*-1</f>
        <v>-1115.926183916084</v>
      </c>
      <c r="F9" s="197">
        <f>+B9*C9</f>
        <v>-96.782625874125884</v>
      </c>
      <c r="G9" s="684">
        <v>392</v>
      </c>
      <c r="H9" s="199">
        <f>+'Input Page'!D48</f>
        <v>392</v>
      </c>
      <c r="I9" s="181"/>
      <c r="J9" s="181"/>
      <c r="K9" s="176"/>
      <c r="L9" s="413">
        <f>+IF('Input Page'!$G$68="YES",Extracting!L8+15,0)</f>
        <v>45</v>
      </c>
      <c r="M9" s="9">
        <f t="shared" si="0"/>
        <v>108.9959968335029</v>
      </c>
      <c r="N9" s="9">
        <f t="shared" si="1"/>
        <v>135.95504151284001</v>
      </c>
      <c r="O9" s="9">
        <f t="shared" si="2"/>
        <v>0</v>
      </c>
      <c r="P9" s="9">
        <f t="shared" si="3"/>
        <v>300.02894582117165</v>
      </c>
      <c r="Q9" s="10">
        <f t="shared" si="4"/>
        <v>0</v>
      </c>
      <c r="R9" s="11">
        <f t="shared" si="18"/>
        <v>1.0418459019336372</v>
      </c>
      <c r="S9" s="12">
        <f t="shared" si="19"/>
        <v>2.5954622941990881</v>
      </c>
      <c r="T9" s="13">
        <f t="shared" si="20"/>
        <v>1.7303081961327256</v>
      </c>
      <c r="U9" s="14">
        <f t="shared" si="21"/>
        <v>225.02170936587873</v>
      </c>
      <c r="W9" s="549" t="str">
        <f t="shared" si="22"/>
        <v>Max @ Front</v>
      </c>
      <c r="X9" s="76">
        <f t="shared" si="23"/>
        <v>0</v>
      </c>
      <c r="Y9" s="76">
        <f t="shared" si="24"/>
        <v>217.99199366700583</v>
      </c>
      <c r="Z9" s="2"/>
      <c r="AA9" s="89">
        <f t="shared" si="5"/>
        <v>123.5031643834968</v>
      </c>
      <c r="AB9" s="90">
        <f t="shared" si="25"/>
        <v>1.0418459019336372</v>
      </c>
      <c r="AC9" s="91">
        <f t="shared" si="6"/>
        <v>2.5954622941990881</v>
      </c>
      <c r="AD9" s="92">
        <f t="shared" si="7"/>
        <v>1.7303081961327256</v>
      </c>
      <c r="AE9" s="43">
        <f t="shared" si="8"/>
        <v>101.96628113463001</v>
      </c>
      <c r="AF9" s="2"/>
      <c r="AG9" s="89">
        <f t="shared" si="9"/>
        <v>272.54983561650317</v>
      </c>
      <c r="AH9" s="90">
        <f t="shared" si="26"/>
        <v>1.0418459019336372</v>
      </c>
      <c r="AI9" s="91">
        <f t="shared" si="10"/>
        <v>2.5954622941990881</v>
      </c>
      <c r="AJ9" s="92">
        <f t="shared" si="11"/>
        <v>1.7303081961327256</v>
      </c>
      <c r="AK9" s="550">
        <f t="shared" si="12"/>
        <v>225.02170936587873</v>
      </c>
      <c r="AL9" s="42"/>
      <c r="AM9" s="525">
        <f t="shared" si="13"/>
        <v>45</v>
      </c>
      <c r="AN9" s="526"/>
      <c r="AO9" s="54">
        <f t="shared" si="43"/>
        <v>98.1</v>
      </c>
      <c r="AP9" s="75">
        <f t="shared" si="27"/>
        <v>0</v>
      </c>
      <c r="AQ9" s="75">
        <f t="shared" si="27"/>
        <v>0</v>
      </c>
      <c r="AR9" s="53">
        <f t="shared" si="27"/>
        <v>0</v>
      </c>
      <c r="AS9" s="55">
        <f t="shared" si="27"/>
        <v>0</v>
      </c>
      <c r="AT9" s="2"/>
      <c r="AU9" s="51">
        <f t="shared" si="14"/>
        <v>297.95299999999997</v>
      </c>
      <c r="AV9" s="50">
        <f t="shared" si="15"/>
        <v>-0.39561315332997449</v>
      </c>
      <c r="AW9" s="50">
        <f t="shared" si="16"/>
        <v>1.5628888961788954</v>
      </c>
      <c r="AX9" s="69">
        <f t="shared" si="28"/>
        <v>-14.204873937741402</v>
      </c>
      <c r="AY9" s="73">
        <f t="shared" si="29"/>
        <v>1.6121822070991145</v>
      </c>
      <c r="AZ9" s="527"/>
      <c r="BA9" s="58">
        <f t="shared" si="30"/>
        <v>0.8253885932830366</v>
      </c>
      <c r="BB9" s="57">
        <f t="shared" si="31"/>
        <v>1.3848700801754734</v>
      </c>
      <c r="BC9" s="53">
        <f t="shared" si="32"/>
        <v>-412.62619499852281</v>
      </c>
      <c r="BD9" s="55">
        <f t="shared" si="33"/>
        <v>245.92700753446059</v>
      </c>
      <c r="BE9" s="2"/>
      <c r="BF9" s="54">
        <f t="shared" si="34"/>
        <v>-412.62619499852281</v>
      </c>
      <c r="BG9" s="53">
        <f t="shared" si="34"/>
        <v>245.92700753446059</v>
      </c>
      <c r="BH9" s="57">
        <f t="shared" si="35"/>
        <v>0.6209446905703544</v>
      </c>
      <c r="BI9" s="129">
        <f t="shared" si="36"/>
        <v>1.0418459019336372</v>
      </c>
      <c r="BJ9" s="66" t="str">
        <f t="shared" si="17"/>
        <v>yes</v>
      </c>
      <c r="BK9" s="2"/>
      <c r="BL9" s="70">
        <f t="shared" si="37"/>
        <v>480.35452515180242</v>
      </c>
      <c r="BM9" s="528">
        <f t="shared" si="38"/>
        <v>30.795126062258596</v>
      </c>
      <c r="BN9" s="121"/>
      <c r="BO9" s="577">
        <f t="shared" si="39"/>
        <v>0.37633011549718448</v>
      </c>
      <c r="BP9" s="578">
        <f t="shared" si="40"/>
        <v>0.54632716409734516</v>
      </c>
      <c r="BR9" s="507" t="str">
        <f t="shared" si="41"/>
        <v>NO-OK</v>
      </c>
      <c r="BS9" s="512" t="str">
        <f t="shared" si="42"/>
        <v>NO-OK</v>
      </c>
    </row>
    <row r="10" spans="1:71" ht="20.100000000000001" customHeight="1" x14ac:dyDescent="0.25">
      <c r="A10" s="200" t="s">
        <v>215</v>
      </c>
      <c r="B10" s="201">
        <f>+IF(G10&lt;0,+G10-B5,0)</f>
        <v>0</v>
      </c>
      <c r="C10" s="202">
        <f>+'Input Page'!E49</f>
        <v>-0.30069930069930073</v>
      </c>
      <c r="D10" s="202">
        <f>+'Input Page'!F49</f>
        <v>3.4671328671328676</v>
      </c>
      <c r="E10" s="203">
        <f t="shared" ref="E10:E15" si="44">+B10*D10*-1</f>
        <v>0</v>
      </c>
      <c r="F10" s="204">
        <f t="shared" ref="F10:F15" si="45">+B10*C10</f>
        <v>0</v>
      </c>
      <c r="G10" s="683">
        <v>0</v>
      </c>
      <c r="H10" s="206">
        <f>+'Input Page'!D49</f>
        <v>-29.4</v>
      </c>
      <c r="I10" s="858" t="s">
        <v>158</v>
      </c>
      <c r="J10" s="863" t="s">
        <v>29</v>
      </c>
      <c r="K10" s="176"/>
      <c r="L10" s="413">
        <f>+IF('Input Page'!$G$68="YES",Extracting!L9+15,0)</f>
        <v>60</v>
      </c>
      <c r="M10" s="9">
        <f t="shared" si="0"/>
        <v>88.846160055933808</v>
      </c>
      <c r="N10" s="9">
        <f t="shared" si="1"/>
        <v>84.060736281310525</v>
      </c>
      <c r="O10" s="9">
        <f t="shared" si="2"/>
        <v>0</v>
      </c>
      <c r="P10" s="9">
        <f t="shared" si="3"/>
        <v>271.32390394242475</v>
      </c>
      <c r="Q10" s="10">
        <f t="shared" si="4"/>
        <v>0</v>
      </c>
      <c r="R10" s="11">
        <f t="shared" si="18"/>
        <v>0.84563355181622868</v>
      </c>
      <c r="S10" s="12">
        <f t="shared" si="19"/>
        <v>3.1840993445513139</v>
      </c>
      <c r="T10" s="13">
        <f t="shared" si="20"/>
        <v>2.1227328963675429</v>
      </c>
      <c r="U10" s="14">
        <f t="shared" si="21"/>
        <v>203.49292795681856</v>
      </c>
      <c r="W10" s="549" t="str">
        <f t="shared" si="22"/>
        <v>Max @ Front</v>
      </c>
      <c r="X10" s="76">
        <f t="shared" si="23"/>
        <v>0</v>
      </c>
      <c r="Y10" s="76">
        <f t="shared" si="24"/>
        <v>177.69232011186764</v>
      </c>
      <c r="Z10" s="2"/>
      <c r="AA10" s="89">
        <f t="shared" si="5"/>
        <v>93.680207353537583</v>
      </c>
      <c r="AB10" s="90">
        <f t="shared" si="25"/>
        <v>0.84563355181622868</v>
      </c>
      <c r="AC10" s="91">
        <f t="shared" si="6"/>
        <v>3.1840993445513139</v>
      </c>
      <c r="AD10" s="92">
        <f t="shared" si="7"/>
        <v>2.1227328963675429</v>
      </c>
      <c r="AE10" s="43">
        <f t="shared" si="8"/>
        <v>63.045552210982891</v>
      </c>
      <c r="AF10" s="2"/>
      <c r="AG10" s="89">
        <f t="shared" si="9"/>
        <v>302.37279264646241</v>
      </c>
      <c r="AH10" s="90">
        <f t="shared" si="26"/>
        <v>0.84563355181622868</v>
      </c>
      <c r="AI10" s="91">
        <f t="shared" si="10"/>
        <v>3.1840993445513139</v>
      </c>
      <c r="AJ10" s="92">
        <f t="shared" si="11"/>
        <v>2.1227328963675429</v>
      </c>
      <c r="AK10" s="550">
        <f t="shared" si="12"/>
        <v>203.49292795681856</v>
      </c>
      <c r="AL10" s="42"/>
      <c r="AM10" s="525">
        <f t="shared" si="13"/>
        <v>60</v>
      </c>
      <c r="AN10" s="526"/>
      <c r="AO10" s="54">
        <f t="shared" si="43"/>
        <v>98.1</v>
      </c>
      <c r="AP10" s="75">
        <f t="shared" si="27"/>
        <v>0</v>
      </c>
      <c r="AQ10" s="75">
        <f t="shared" si="27"/>
        <v>0</v>
      </c>
      <c r="AR10" s="53">
        <f t="shared" si="27"/>
        <v>0</v>
      </c>
      <c r="AS10" s="55">
        <f t="shared" si="27"/>
        <v>0</v>
      </c>
      <c r="AT10" s="2"/>
      <c r="AU10" s="51">
        <f t="shared" si="14"/>
        <v>297.95299999999997</v>
      </c>
      <c r="AV10" s="50">
        <f t="shared" si="15"/>
        <v>-0.39561315332997449</v>
      </c>
      <c r="AW10" s="50">
        <f t="shared" si="16"/>
        <v>1.5628888961788954</v>
      </c>
      <c r="AX10" s="69">
        <f t="shared" si="28"/>
        <v>-14.204873937741402</v>
      </c>
      <c r="AY10" s="73">
        <f t="shared" si="29"/>
        <v>1.6121822070991145</v>
      </c>
      <c r="AZ10" s="527"/>
      <c r="BA10" s="58">
        <f t="shared" si="30"/>
        <v>1.1556949107185563</v>
      </c>
      <c r="BB10" s="57">
        <f t="shared" si="31"/>
        <v>1.124055488944474</v>
      </c>
      <c r="BC10" s="53">
        <f t="shared" si="32"/>
        <v>-334.91570509747282</v>
      </c>
      <c r="BD10" s="55">
        <f t="shared" si="33"/>
        <v>344.34276573332596</v>
      </c>
      <c r="BE10" s="2"/>
      <c r="BF10" s="54">
        <f t="shared" si="34"/>
        <v>-334.91570509747282</v>
      </c>
      <c r="BG10" s="53">
        <f t="shared" si="34"/>
        <v>344.34276573332596</v>
      </c>
      <c r="BH10" s="57">
        <f t="shared" si="35"/>
        <v>0.86943607480141794</v>
      </c>
      <c r="BI10" s="129">
        <f t="shared" si="36"/>
        <v>0.84563355181622868</v>
      </c>
      <c r="BJ10" s="66" t="str">
        <f t="shared" si="17"/>
        <v>yes</v>
      </c>
      <c r="BK10" s="2"/>
      <c r="BL10" s="70">
        <f t="shared" si="37"/>
        <v>480.35452515180242</v>
      </c>
      <c r="BM10" s="528">
        <f t="shared" si="38"/>
        <v>45.795126062258596</v>
      </c>
      <c r="BN10" s="121"/>
      <c r="BO10" s="577">
        <f t="shared" si="39"/>
        <v>0.52693095442510185</v>
      </c>
      <c r="BP10" s="578">
        <f t="shared" si="40"/>
        <v>0.44343657672586717</v>
      </c>
      <c r="BR10" s="507" t="str">
        <f t="shared" si="41"/>
        <v>NO-OK</v>
      </c>
      <c r="BS10" s="512" t="str">
        <f t="shared" si="42"/>
        <v>NO-OK</v>
      </c>
    </row>
    <row r="11" spans="1:71" ht="20.100000000000001" customHeight="1" thickBot="1" x14ac:dyDescent="0.3">
      <c r="A11" s="207" t="s">
        <v>93</v>
      </c>
      <c r="B11" s="208">
        <f t="shared" ref="B11:B15" si="46">+G11</f>
        <v>0</v>
      </c>
      <c r="C11" s="209">
        <f>+'Input Page'!E50</f>
        <v>0</v>
      </c>
      <c r="D11" s="209">
        <f>+'Input Page'!F50</f>
        <v>4</v>
      </c>
      <c r="E11" s="210">
        <f t="shared" si="44"/>
        <v>0</v>
      </c>
      <c r="F11" s="211">
        <f t="shared" si="45"/>
        <v>0</v>
      </c>
      <c r="G11" s="685">
        <v>0</v>
      </c>
      <c r="H11" s="213">
        <f>+'Input Page'!D50</f>
        <v>10</v>
      </c>
      <c r="I11" s="859"/>
      <c r="J11" s="864"/>
      <c r="K11" s="176"/>
      <c r="L11" s="413">
        <f>+IF('Input Page'!$G$68="YES",Extracting!L10+15,0)</f>
        <v>75</v>
      </c>
      <c r="M11" s="9">
        <f t="shared" si="0"/>
        <v>74.172784478238071</v>
      </c>
      <c r="N11" s="9">
        <f t="shared" si="1"/>
        <v>51.329048462510649</v>
      </c>
      <c r="O11" s="9">
        <f t="shared" si="2"/>
        <v>1.8346924372068794</v>
      </c>
      <c r="P11" s="9">
        <f t="shared" si="3"/>
        <v>235.12321277052592</v>
      </c>
      <c r="Q11" s="10">
        <f t="shared" si="4"/>
        <v>8.4041842427087907</v>
      </c>
      <c r="R11" s="11">
        <f t="shared" si="18"/>
        <v>0.59179267261806368</v>
      </c>
      <c r="S11" s="12">
        <f t="shared" si="19"/>
        <v>3.8140000000000001</v>
      </c>
      <c r="T11" s="13">
        <f t="shared" si="20"/>
        <v>2.6304146547638725</v>
      </c>
      <c r="U11" s="14">
        <f t="shared" si="21"/>
        <v>176.55267593007216</v>
      </c>
      <c r="W11" s="549" t="str">
        <f t="shared" si="22"/>
        <v>Max @ Front</v>
      </c>
      <c r="X11" s="76">
        <f t="shared" si="23"/>
        <v>5.1194383399578358</v>
      </c>
      <c r="Y11" s="76">
        <f t="shared" si="24"/>
        <v>143.2261306165183</v>
      </c>
      <c r="Z11" s="2"/>
      <c r="AA11" s="89">
        <f t="shared" si="5"/>
        <v>70.968277727032927</v>
      </c>
      <c r="AB11" s="90">
        <f t="shared" si="25"/>
        <v>0.59179267261806368</v>
      </c>
      <c r="AC11" s="91">
        <f t="shared" si="6"/>
        <v>3.8140000000000001</v>
      </c>
      <c r="AD11" s="92">
        <f t="shared" si="7"/>
        <v>2.6304146547638725</v>
      </c>
      <c r="AE11" s="43">
        <f t="shared" si="8"/>
        <v>38.542688968124807</v>
      </c>
      <c r="AF11" s="2"/>
      <c r="AG11" s="89">
        <f t="shared" si="9"/>
        <v>325.08472227296704</v>
      </c>
      <c r="AH11" s="90">
        <f t="shared" si="26"/>
        <v>0.59179267261806368</v>
      </c>
      <c r="AI11" s="91">
        <f t="shared" si="10"/>
        <v>3.8140000000000001</v>
      </c>
      <c r="AJ11" s="92">
        <f t="shared" si="11"/>
        <v>2.6304146547638725</v>
      </c>
      <c r="AK11" s="550">
        <f t="shared" si="12"/>
        <v>176.55267593007216</v>
      </c>
      <c r="AL11" s="42"/>
      <c r="AM11" s="525">
        <f t="shared" si="13"/>
        <v>75</v>
      </c>
      <c r="AN11" s="526"/>
      <c r="AO11" s="54">
        <f t="shared" si="43"/>
        <v>98.1</v>
      </c>
      <c r="AP11" s="75">
        <f t="shared" si="27"/>
        <v>0</v>
      </c>
      <c r="AQ11" s="75">
        <f t="shared" si="27"/>
        <v>0</v>
      </c>
      <c r="AR11" s="53">
        <f t="shared" si="27"/>
        <v>0</v>
      </c>
      <c r="AS11" s="55">
        <f t="shared" si="27"/>
        <v>0</v>
      </c>
      <c r="AT11" s="2"/>
      <c r="AU11" s="51">
        <f t="shared" si="14"/>
        <v>297.95299999999997</v>
      </c>
      <c r="AV11" s="50">
        <f t="shared" si="15"/>
        <v>-0.39561315332997449</v>
      </c>
      <c r="AW11" s="50">
        <f t="shared" si="16"/>
        <v>1.5628888961788954</v>
      </c>
      <c r="AX11" s="69">
        <f t="shared" si="28"/>
        <v>-14.204873937741402</v>
      </c>
      <c r="AY11" s="73">
        <f t="shared" si="29"/>
        <v>1.6121822070991145</v>
      </c>
      <c r="AZ11" s="527"/>
      <c r="BA11" s="58">
        <f t="shared" si="30"/>
        <v>1.4072425298647482</v>
      </c>
      <c r="BB11" s="57">
        <f t="shared" si="31"/>
        <v>0.78663837373143419</v>
      </c>
      <c r="BC11" s="53">
        <f t="shared" si="32"/>
        <v>-234.38126336840199</v>
      </c>
      <c r="BD11" s="55">
        <f t="shared" si="33"/>
        <v>419.29213350079129</v>
      </c>
      <c r="BE11" s="2"/>
      <c r="BF11" s="54">
        <f t="shared" si="34"/>
        <v>-234.38126336840199</v>
      </c>
      <c r="BG11" s="53">
        <f t="shared" si="34"/>
        <v>419.29213350079129</v>
      </c>
      <c r="BH11" s="57">
        <f t="shared" si="35"/>
        <v>1.0586768273458131</v>
      </c>
      <c r="BI11" s="129">
        <f t="shared" si="36"/>
        <v>0.59179267261806368</v>
      </c>
      <c r="BJ11" s="66" t="str">
        <f t="shared" si="17"/>
        <v>no</v>
      </c>
      <c r="BK11" s="2"/>
      <c r="BL11" s="70">
        <f t="shared" si="37"/>
        <v>480.35452515180242</v>
      </c>
      <c r="BM11" s="528">
        <f t="shared" si="38"/>
        <v>60.795126062258596</v>
      </c>
      <c r="BN11" s="121"/>
      <c r="BO11" s="577">
        <f t="shared" si="39"/>
        <v>0.64162231960352312</v>
      </c>
      <c r="BP11" s="578">
        <f t="shared" si="40"/>
        <v>0.3103265194641131</v>
      </c>
      <c r="BR11" s="507" t="str">
        <f t="shared" si="41"/>
        <v>NO-OK</v>
      </c>
      <c r="BS11" s="512" t="str">
        <f t="shared" si="42"/>
        <v>NO-OK</v>
      </c>
    </row>
    <row r="12" spans="1:71" ht="20.100000000000001" customHeight="1" x14ac:dyDescent="0.25">
      <c r="A12" s="214" t="s">
        <v>74</v>
      </c>
      <c r="B12" s="215">
        <f t="shared" si="46"/>
        <v>-303</v>
      </c>
      <c r="C12" s="216">
        <f>+'Input Page'!E41</f>
        <v>0</v>
      </c>
      <c r="D12" s="216">
        <f>+'Input Page'!F41</f>
        <v>2.74</v>
      </c>
      <c r="E12" s="217">
        <f t="shared" si="44"/>
        <v>830.22</v>
      </c>
      <c r="F12" s="218">
        <f t="shared" si="45"/>
        <v>0</v>
      </c>
      <c r="G12" s="219">
        <v>-303</v>
      </c>
      <c r="H12" s="220">
        <f>+'Input Page'!D41</f>
        <v>-450</v>
      </c>
      <c r="I12" s="221">
        <f>+IF(J12=0,-1E-24,G12/J12*-1)</f>
        <v>202</v>
      </c>
      <c r="J12" s="222">
        <f>+'Input Page'!C41</f>
        <v>1.5</v>
      </c>
      <c r="K12" s="176"/>
      <c r="L12" s="413">
        <f>+IF('Input Page'!$G$68="YES",Extracting!L11+15,0)</f>
        <v>90</v>
      </c>
      <c r="M12" s="9">
        <f t="shared" si="0"/>
        <v>74.172784478238071</v>
      </c>
      <c r="N12" s="9">
        <f t="shared" si="1"/>
        <v>31.299384858268851</v>
      </c>
      <c r="O12" s="9">
        <f t="shared" si="2"/>
        <v>11.336884506320844</v>
      </c>
      <c r="P12" s="9">
        <f t="shared" si="3"/>
        <v>186.50227199324823</v>
      </c>
      <c r="Q12" s="10">
        <f t="shared" si="4"/>
        <v>67.552596555114391</v>
      </c>
      <c r="R12" s="11">
        <f t="shared" si="18"/>
        <v>0.29762210076460949</v>
      </c>
      <c r="S12" s="12">
        <f t="shared" si="19"/>
        <v>3.8140000000000001</v>
      </c>
      <c r="T12" s="13">
        <f t="shared" si="20"/>
        <v>3.2187557984707809</v>
      </c>
      <c r="U12" s="14">
        <f t="shared" si="21"/>
        <v>150.51860552823035</v>
      </c>
      <c r="V12" s="46"/>
      <c r="W12" s="549" t="str">
        <f t="shared" si="22"/>
        <v>Max @ Front</v>
      </c>
      <c r="X12" s="76">
        <f t="shared" si="23"/>
        <v>39.444740530717617</v>
      </c>
      <c r="Y12" s="76">
        <f t="shared" si="24"/>
        <v>108.90082842575853</v>
      </c>
      <c r="Z12" s="2"/>
      <c r="AA12" s="89">
        <f t="shared" si="5"/>
        <v>56.915155974790778</v>
      </c>
      <c r="AB12" s="90">
        <f t="shared" si="25"/>
        <v>0.29762210076460949</v>
      </c>
      <c r="AC12" s="91">
        <f t="shared" si="6"/>
        <v>3.8140000000000001</v>
      </c>
      <c r="AD12" s="92">
        <f t="shared" si="7"/>
        <v>3.2187557984707809</v>
      </c>
      <c r="AE12" s="43">
        <f t="shared" si="8"/>
        <v>25.260495287309897</v>
      </c>
      <c r="AF12" s="2"/>
      <c r="AG12" s="89">
        <f t="shared" si="9"/>
        <v>339.13784402520923</v>
      </c>
      <c r="AH12" s="90">
        <f t="shared" si="26"/>
        <v>0.29762210076460949</v>
      </c>
      <c r="AI12" s="91">
        <f t="shared" si="10"/>
        <v>3.8140000000000001</v>
      </c>
      <c r="AJ12" s="92">
        <f t="shared" si="11"/>
        <v>3.2187557984707809</v>
      </c>
      <c r="AK12" s="550">
        <f t="shared" si="12"/>
        <v>150.51860552823035</v>
      </c>
      <c r="AL12" s="42"/>
      <c r="AM12" s="521">
        <f t="shared" si="13"/>
        <v>90</v>
      </c>
      <c r="AN12" s="522"/>
      <c r="AO12" s="60">
        <f t="shared" si="43"/>
        <v>98.1</v>
      </c>
      <c r="AP12" s="74">
        <f t="shared" si="27"/>
        <v>0</v>
      </c>
      <c r="AQ12" s="74">
        <f t="shared" si="27"/>
        <v>0</v>
      </c>
      <c r="AR12" s="61">
        <f t="shared" si="27"/>
        <v>0</v>
      </c>
      <c r="AS12" s="62">
        <f t="shared" si="27"/>
        <v>0</v>
      </c>
      <c r="AT12" s="67"/>
      <c r="AU12" s="63">
        <f t="shared" si="14"/>
        <v>297.95299999999997</v>
      </c>
      <c r="AV12" s="64">
        <f t="shared" si="15"/>
        <v>-0.39561315332997449</v>
      </c>
      <c r="AW12" s="64">
        <f t="shared" si="16"/>
        <v>1.5628888961788954</v>
      </c>
      <c r="AX12" s="68">
        <f t="shared" si="28"/>
        <v>-14.204873937741402</v>
      </c>
      <c r="AY12" s="72">
        <f t="shared" si="29"/>
        <v>1.6121822070991145</v>
      </c>
      <c r="AZ12" s="523"/>
      <c r="BA12" s="65">
        <f t="shared" si="30"/>
        <v>1.5628888961788954</v>
      </c>
      <c r="BB12" s="66">
        <f t="shared" si="31"/>
        <v>0.39561315332997449</v>
      </c>
      <c r="BC12" s="61">
        <f t="shared" si="32"/>
        <v>-117.87412587412588</v>
      </c>
      <c r="BD12" s="62">
        <f t="shared" si="33"/>
        <v>465.6674352831904</v>
      </c>
      <c r="BE12" s="67"/>
      <c r="BF12" s="60">
        <f t="shared" si="34"/>
        <v>-117.87412587412588</v>
      </c>
      <c r="BG12" s="61">
        <f t="shared" si="34"/>
        <v>465.6674352831904</v>
      </c>
      <c r="BH12" s="66">
        <f t="shared" si="35"/>
        <v>1.1757705036527697</v>
      </c>
      <c r="BI12" s="128">
        <f t="shared" si="36"/>
        <v>0.29762210076460949</v>
      </c>
      <c r="BJ12" s="66" t="str">
        <f t="shared" si="17"/>
        <v>no</v>
      </c>
      <c r="BK12" s="2"/>
      <c r="BL12" s="71">
        <f t="shared" si="37"/>
        <v>480.35452515180242</v>
      </c>
      <c r="BM12" s="524">
        <f t="shared" si="38"/>
        <v>75.795126062258603</v>
      </c>
      <c r="BN12" s="120"/>
      <c r="BO12" s="577">
        <f t="shared" si="39"/>
        <v>0.71258818403198165</v>
      </c>
      <c r="BP12" s="578">
        <f t="shared" si="40"/>
        <v>0.15606822273970083</v>
      </c>
      <c r="BR12" s="507" t="str">
        <f t="shared" si="41"/>
        <v>NO-OK</v>
      </c>
      <c r="BS12" s="512" t="str">
        <f t="shared" si="42"/>
        <v>NO-OK</v>
      </c>
    </row>
    <row r="13" spans="1:71" ht="20.100000000000001" customHeight="1" x14ac:dyDescent="0.25">
      <c r="A13" s="223" t="s">
        <v>75</v>
      </c>
      <c r="B13" s="224">
        <f t="shared" si="46"/>
        <v>0</v>
      </c>
      <c r="C13" s="225">
        <f>+'Input Page'!E42</f>
        <v>0</v>
      </c>
      <c r="D13" s="225">
        <f>+'Input Page'!F42</f>
        <v>0</v>
      </c>
      <c r="E13" s="226">
        <f t="shared" si="44"/>
        <v>0</v>
      </c>
      <c r="F13" s="227">
        <f t="shared" si="45"/>
        <v>0</v>
      </c>
      <c r="G13" s="205">
        <v>0</v>
      </c>
      <c r="H13" s="206">
        <f>+'Input Page'!D42</f>
        <v>0</v>
      </c>
      <c r="I13" s="221">
        <f t="shared" ref="I13:I15" si="47">+IF(J13=0,-1E-24,G13/J13*-1)</f>
        <v>-9.9999999999999992E-25</v>
      </c>
      <c r="J13" s="222">
        <f>+'Input Page'!C42</f>
        <v>0</v>
      </c>
      <c r="K13" s="176"/>
      <c r="L13" s="413">
        <f>+IF('Input Page'!$G$68="YES",Extracting!L12+15,0)</f>
        <v>105</v>
      </c>
      <c r="M13" s="9">
        <f t="shared" si="0"/>
        <v>74.172784478238071</v>
      </c>
      <c r="N13" s="9">
        <f t="shared" si="1"/>
        <v>20.176809010461621</v>
      </c>
      <c r="O13" s="9">
        <f t="shared" si="2"/>
        <v>19.135902893309943</v>
      </c>
      <c r="P13" s="9">
        <f t="shared" si="3"/>
        <v>132.09659404092793</v>
      </c>
      <c r="Q13" s="10">
        <f t="shared" si="4"/>
        <v>125.28183196825279</v>
      </c>
      <c r="R13" s="11">
        <f t="shared" si="18"/>
        <v>-1.6830925412176168E-2</v>
      </c>
      <c r="S13" s="12">
        <f t="shared" si="19"/>
        <v>3.8140000000000001</v>
      </c>
      <c r="T13" s="13">
        <f t="shared" si="20"/>
        <v>3.7803381491756478</v>
      </c>
      <c r="U13" s="84">
        <f t="shared" si="21"/>
        <v>129.83512030703852</v>
      </c>
      <c r="W13" s="549" t="str">
        <f t="shared" si="22"/>
        <v>Max @ Rear</v>
      </c>
      <c r="X13" s="76">
        <f t="shared" si="23"/>
        <v>72.208867430781368</v>
      </c>
      <c r="Y13" s="76">
        <f t="shared" si="24"/>
        <v>76.136701525694775</v>
      </c>
      <c r="Z13" s="2"/>
      <c r="AA13" s="89">
        <f t="shared" si="5"/>
        <v>52.478539120344657</v>
      </c>
      <c r="AB13" s="90">
        <f t="shared" si="25"/>
        <v>-1.6830925412176168E-2</v>
      </c>
      <c r="AC13" s="91">
        <f t="shared" si="6"/>
        <v>3.8140000000000001</v>
      </c>
      <c r="AD13" s="92">
        <f t="shared" si="7"/>
        <v>3.7803381491756478</v>
      </c>
      <c r="AE13" s="43">
        <f t="shared" si="8"/>
        <v>19.83138508835259</v>
      </c>
      <c r="AF13" s="2"/>
      <c r="AG13" s="89">
        <f t="shared" si="9"/>
        <v>343.57446087965536</v>
      </c>
      <c r="AH13" s="90">
        <f t="shared" si="26"/>
        <v>-1.6830925412176168E-2</v>
      </c>
      <c r="AI13" s="91">
        <f t="shared" si="10"/>
        <v>3.8140000000000001</v>
      </c>
      <c r="AJ13" s="92">
        <f t="shared" si="11"/>
        <v>3.7803381491756478</v>
      </c>
      <c r="AK13" s="550">
        <f t="shared" si="12"/>
        <v>129.83512030703852</v>
      </c>
      <c r="AL13" s="42"/>
      <c r="AM13" s="525">
        <f t="shared" si="13"/>
        <v>105</v>
      </c>
      <c r="AN13" s="526"/>
      <c r="AO13" s="54">
        <f t="shared" si="43"/>
        <v>98.1</v>
      </c>
      <c r="AP13" s="75">
        <f t="shared" si="27"/>
        <v>0</v>
      </c>
      <c r="AQ13" s="75">
        <f t="shared" si="27"/>
        <v>0</v>
      </c>
      <c r="AR13" s="53">
        <f t="shared" si="27"/>
        <v>0</v>
      </c>
      <c r="AS13" s="55">
        <f t="shared" si="27"/>
        <v>0</v>
      </c>
      <c r="AT13" s="2"/>
      <c r="AU13" s="51">
        <f t="shared" si="14"/>
        <v>297.95299999999997</v>
      </c>
      <c r="AV13" s="50">
        <f t="shared" si="15"/>
        <v>-0.39561315332997449</v>
      </c>
      <c r="AW13" s="50">
        <f t="shared" si="16"/>
        <v>1.5628888961788954</v>
      </c>
      <c r="AX13" s="69">
        <f t="shared" si="28"/>
        <v>-14.204873937741402</v>
      </c>
      <c r="AY13" s="73">
        <f t="shared" si="29"/>
        <v>1.6121822070991145</v>
      </c>
      <c r="AZ13" s="527"/>
      <c r="BA13" s="58">
        <f t="shared" si="30"/>
        <v>1.6120269670144707</v>
      </c>
      <c r="BB13" s="57">
        <f t="shared" si="31"/>
        <v>-2.2372449689275181E-2</v>
      </c>
      <c r="BC13" s="53">
        <f t="shared" si="32"/>
        <v>6.6659385022686077</v>
      </c>
      <c r="BD13" s="55">
        <f t="shared" si="33"/>
        <v>480.30827090286255</v>
      </c>
      <c r="BE13" s="2"/>
      <c r="BF13" s="54">
        <f t="shared" si="34"/>
        <v>6.6659385022686077</v>
      </c>
      <c r="BG13" s="53">
        <f t="shared" si="34"/>
        <v>480.30827090286255</v>
      </c>
      <c r="BH13" s="57">
        <f t="shared" si="35"/>
        <v>1.2127373631884182</v>
      </c>
      <c r="BI13" s="129">
        <f t="shared" si="36"/>
        <v>-1.6830925412176168E-2</v>
      </c>
      <c r="BJ13" s="66" t="str">
        <f t="shared" si="17"/>
        <v>no</v>
      </c>
      <c r="BK13" s="2"/>
      <c r="BL13" s="70">
        <f t="shared" si="37"/>
        <v>480.35452515180248</v>
      </c>
      <c r="BM13" s="528">
        <f t="shared" si="38"/>
        <v>-89.204873937741397</v>
      </c>
      <c r="BN13" s="121"/>
      <c r="BO13" s="577">
        <f t="shared" si="39"/>
        <v>0.73499234132631408</v>
      </c>
      <c r="BP13" s="578">
        <f t="shared" si="40"/>
        <v>8.8258654494893386E-3</v>
      </c>
      <c r="BR13" s="507" t="str">
        <f t="shared" si="41"/>
        <v>NO-OK</v>
      </c>
      <c r="BS13" s="512" t="str">
        <f t="shared" si="42"/>
        <v>NO-OK</v>
      </c>
    </row>
    <row r="14" spans="1:71" ht="20.100000000000001" customHeight="1" x14ac:dyDescent="0.25">
      <c r="A14" s="228" t="s">
        <v>77</v>
      </c>
      <c r="B14" s="224">
        <f t="shared" si="46"/>
        <v>0</v>
      </c>
      <c r="C14" s="225">
        <f>+'Input Page'!E43</f>
        <v>0</v>
      </c>
      <c r="D14" s="225">
        <f>+'Input Page'!F43</f>
        <v>0</v>
      </c>
      <c r="E14" s="226">
        <f t="shared" si="44"/>
        <v>0</v>
      </c>
      <c r="F14" s="227">
        <f t="shared" si="45"/>
        <v>0</v>
      </c>
      <c r="G14" s="205">
        <v>0</v>
      </c>
      <c r="H14" s="206">
        <f>+'Input Page'!D43</f>
        <v>0</v>
      </c>
      <c r="I14" s="221">
        <f t="shared" si="47"/>
        <v>-9.9999999999999992E-25</v>
      </c>
      <c r="J14" s="222">
        <f>+'Input Page'!C43</f>
        <v>0</v>
      </c>
      <c r="K14" s="176"/>
      <c r="L14" s="413">
        <f>+IF('Input Page'!$G$68="YES",Extracting!L13+15,0)</f>
        <v>120</v>
      </c>
      <c r="M14" s="9">
        <f t="shared" si="0"/>
        <v>74.172784478238071</v>
      </c>
      <c r="N14" s="9">
        <f t="shared" si="1"/>
        <v>32.984875334881686</v>
      </c>
      <c r="O14" s="9">
        <f t="shared" si="2"/>
        <v>10.434688130897873</v>
      </c>
      <c r="P14" s="9">
        <f t="shared" si="3"/>
        <v>192.40477430394654</v>
      </c>
      <c r="Q14" s="10">
        <f t="shared" si="4"/>
        <v>60.866800143226207</v>
      </c>
      <c r="R14" s="11">
        <f t="shared" si="18"/>
        <v>-0.33013695183654118</v>
      </c>
      <c r="S14" s="12">
        <f t="shared" si="19"/>
        <v>3.8140000000000001</v>
      </c>
      <c r="T14" s="13">
        <f t="shared" si="20"/>
        <v>3.1537260963269178</v>
      </c>
      <c r="U14" s="14">
        <f t="shared" si="21"/>
        <v>153.14864947634038</v>
      </c>
      <c r="W14" s="549" t="str">
        <f t="shared" si="22"/>
        <v>Max @ Rear</v>
      </c>
      <c r="X14" s="76">
        <f t="shared" si="23"/>
        <v>35.650744137062041</v>
      </c>
      <c r="Y14" s="76">
        <f t="shared" si="24"/>
        <v>112.69482481941411</v>
      </c>
      <c r="Z14" s="2"/>
      <c r="AA14" s="89">
        <f t="shared" si="5"/>
        <v>57.960775270469128</v>
      </c>
      <c r="AB14" s="90">
        <f t="shared" si="25"/>
        <v>-0.33013695183654118</v>
      </c>
      <c r="AC14" s="91">
        <f t="shared" si="6"/>
        <v>3.8140000000000001</v>
      </c>
      <c r="AD14" s="92">
        <f t="shared" si="7"/>
        <v>3.1537260963269178</v>
      </c>
      <c r="AE14" s="43">
        <f t="shared" si="8"/>
        <v>26.25500915430748</v>
      </c>
      <c r="AF14" s="2"/>
      <c r="AG14" s="89">
        <f t="shared" si="9"/>
        <v>338.09222472953087</v>
      </c>
      <c r="AH14" s="90">
        <f t="shared" si="26"/>
        <v>-0.33013695183654118</v>
      </c>
      <c r="AI14" s="91">
        <f t="shared" si="10"/>
        <v>3.8140000000000001</v>
      </c>
      <c r="AJ14" s="92">
        <f t="shared" si="11"/>
        <v>3.1537260963269178</v>
      </c>
      <c r="AK14" s="550">
        <f t="shared" si="12"/>
        <v>153.14864947634038</v>
      </c>
      <c r="AL14" s="42"/>
      <c r="AM14" s="525">
        <f t="shared" si="13"/>
        <v>120</v>
      </c>
      <c r="AN14" s="526"/>
      <c r="AO14" s="54">
        <f t="shared" si="43"/>
        <v>98.1</v>
      </c>
      <c r="AP14" s="75">
        <f t="shared" si="27"/>
        <v>0</v>
      </c>
      <c r="AQ14" s="75">
        <f t="shared" si="27"/>
        <v>0</v>
      </c>
      <c r="AR14" s="53">
        <f t="shared" si="27"/>
        <v>0</v>
      </c>
      <c r="AS14" s="55">
        <f t="shared" si="27"/>
        <v>0</v>
      </c>
      <c r="AT14" s="2"/>
      <c r="AU14" s="51">
        <f t="shared" si="14"/>
        <v>297.95299999999997</v>
      </c>
      <c r="AV14" s="50">
        <f t="shared" si="15"/>
        <v>-0.39561315332997449</v>
      </c>
      <c r="AW14" s="50">
        <f t="shared" si="16"/>
        <v>1.5628888961788954</v>
      </c>
      <c r="AX14" s="69">
        <f t="shared" si="28"/>
        <v>-14.204873937741402</v>
      </c>
      <c r="AY14" s="73">
        <f t="shared" si="29"/>
        <v>1.6121822070991145</v>
      </c>
      <c r="AZ14" s="527"/>
      <c r="BA14" s="58">
        <f t="shared" si="30"/>
        <v>1.5513080640485308</v>
      </c>
      <c r="BB14" s="57">
        <f t="shared" si="31"/>
        <v>-0.43883340723442166</v>
      </c>
      <c r="BC14" s="53">
        <f t="shared" si="32"/>
        <v>130.75173018571763</v>
      </c>
      <c r="BD14" s="55">
        <f t="shared" si="33"/>
        <v>462.21689160745188</v>
      </c>
      <c r="BE14" s="2"/>
      <c r="BF14" s="54">
        <f t="shared" si="34"/>
        <v>130.75173018571763</v>
      </c>
      <c r="BG14" s="53">
        <f t="shared" si="34"/>
        <v>462.21689160745188</v>
      </c>
      <c r="BH14" s="57">
        <f t="shared" si="35"/>
        <v>1.1670581755660274</v>
      </c>
      <c r="BI14" s="129">
        <f t="shared" si="36"/>
        <v>-0.33013695183654118</v>
      </c>
      <c r="BJ14" s="66" t="str">
        <f t="shared" si="17"/>
        <v>no</v>
      </c>
      <c r="BK14" s="2"/>
      <c r="BL14" s="70">
        <f t="shared" si="37"/>
        <v>480.35452515180248</v>
      </c>
      <c r="BM14" s="528">
        <f t="shared" si="38"/>
        <v>-74.204873937741397</v>
      </c>
      <c r="BN14" s="121"/>
      <c r="BO14" s="577">
        <f t="shared" si="39"/>
        <v>0.70730798519153182</v>
      </c>
      <c r="BP14" s="578">
        <f t="shared" si="40"/>
        <v>0.17311848549372899</v>
      </c>
      <c r="BR14" s="507" t="str">
        <f t="shared" si="41"/>
        <v>NO-OK</v>
      </c>
      <c r="BS14" s="512" t="str">
        <f t="shared" si="42"/>
        <v>NO-OK</v>
      </c>
    </row>
    <row r="15" spans="1:71" ht="20.100000000000001" customHeight="1" thickBot="1" x14ac:dyDescent="0.3">
      <c r="A15" s="229" t="s">
        <v>78</v>
      </c>
      <c r="B15" s="230">
        <f t="shared" si="46"/>
        <v>0</v>
      </c>
      <c r="C15" s="231">
        <f>+'Input Page'!E44</f>
        <v>0</v>
      </c>
      <c r="D15" s="231">
        <f>+'Input Page'!F44</f>
        <v>0</v>
      </c>
      <c r="E15" s="232">
        <f t="shared" si="44"/>
        <v>0</v>
      </c>
      <c r="F15" s="233">
        <f t="shared" si="45"/>
        <v>0</v>
      </c>
      <c r="G15" s="212">
        <v>0</v>
      </c>
      <c r="H15" s="213">
        <f>+'Input Page'!D44</f>
        <v>0</v>
      </c>
      <c r="I15" s="234">
        <f t="shared" si="47"/>
        <v>-9.9999999999999992E-25</v>
      </c>
      <c r="J15" s="235">
        <f>+'Input Page'!C44</f>
        <v>0</v>
      </c>
      <c r="K15" s="176"/>
      <c r="L15" s="413">
        <f>+IF('Input Page'!$G$68="YES",Extracting!L14+15,0)</f>
        <v>135</v>
      </c>
      <c r="M15" s="9">
        <f t="shared" si="0"/>
        <v>74.172784478238071</v>
      </c>
      <c r="N15" s="9">
        <f t="shared" si="1"/>
        <v>54.04379258359458</v>
      </c>
      <c r="O15" s="9">
        <f t="shared" si="2"/>
        <v>0.63315631996127653</v>
      </c>
      <c r="P15" s="9">
        <f t="shared" si="3"/>
        <v>239.21167686553324</v>
      </c>
      <c r="Q15" s="10">
        <f t="shared" si="4"/>
        <v>2.8025121438631873</v>
      </c>
      <c r="R15" s="11">
        <f t="shared" si="18"/>
        <v>-0.6209446905703544</v>
      </c>
      <c r="S15" s="12">
        <f t="shared" si="19"/>
        <v>3.8140000000000001</v>
      </c>
      <c r="T15" s="85">
        <f t="shared" si="20"/>
        <v>2.5721106188592913</v>
      </c>
      <c r="U15" s="14">
        <f t="shared" si="21"/>
        <v>179.4328187352998</v>
      </c>
      <c r="W15" s="549" t="str">
        <f t="shared" si="22"/>
        <v>Max @ Rear</v>
      </c>
      <c r="X15" s="76">
        <f t="shared" si="23"/>
        <v>1.7178342319122319</v>
      </c>
      <c r="Y15" s="76">
        <f t="shared" si="24"/>
        <v>146.62773472456391</v>
      </c>
      <c r="Z15" s="2"/>
      <c r="AA15" s="89">
        <f t="shared" si="5"/>
        <v>72.98825909135671</v>
      </c>
      <c r="AB15" s="90">
        <f t="shared" si="25"/>
        <v>-0.6209446905703544</v>
      </c>
      <c r="AC15" s="91">
        <f t="shared" si="6"/>
        <v>3.8140000000000001</v>
      </c>
      <c r="AD15" s="92">
        <f t="shared" si="7"/>
        <v>2.5721106188592913</v>
      </c>
      <c r="AE15" s="43">
        <f t="shared" si="8"/>
        <v>40.538280427971408</v>
      </c>
      <c r="AF15" s="2"/>
      <c r="AG15" s="89">
        <f t="shared" si="9"/>
        <v>323.06474090864327</v>
      </c>
      <c r="AH15" s="90">
        <f t="shared" si="26"/>
        <v>-0.6209446905703544</v>
      </c>
      <c r="AI15" s="91">
        <f t="shared" si="10"/>
        <v>3.8140000000000001</v>
      </c>
      <c r="AJ15" s="92">
        <f t="shared" si="11"/>
        <v>2.5721106188592913</v>
      </c>
      <c r="AK15" s="550">
        <f t="shared" si="12"/>
        <v>179.4328187352998</v>
      </c>
      <c r="AL15" s="42"/>
      <c r="AM15" s="525">
        <f t="shared" si="13"/>
        <v>135</v>
      </c>
      <c r="AN15" s="526"/>
      <c r="AO15" s="54">
        <f t="shared" si="43"/>
        <v>98.1</v>
      </c>
      <c r="AP15" s="75">
        <f t="shared" si="27"/>
        <v>0</v>
      </c>
      <c r="AQ15" s="75">
        <f t="shared" si="27"/>
        <v>0</v>
      </c>
      <c r="AR15" s="53">
        <f t="shared" si="27"/>
        <v>0</v>
      </c>
      <c r="AS15" s="55">
        <f t="shared" si="27"/>
        <v>0</v>
      </c>
      <c r="AT15" s="2"/>
      <c r="AU15" s="51">
        <f t="shared" si="14"/>
        <v>297.95299999999997</v>
      </c>
      <c r="AV15" s="50">
        <f t="shared" si="15"/>
        <v>-0.39561315332997449</v>
      </c>
      <c r="AW15" s="50">
        <f t="shared" si="16"/>
        <v>1.5628888961788954</v>
      </c>
      <c r="AX15" s="69">
        <f t="shared" si="28"/>
        <v>-14.204873937741402</v>
      </c>
      <c r="AY15" s="73">
        <f t="shared" si="29"/>
        <v>1.6121822070991145</v>
      </c>
      <c r="AZ15" s="527"/>
      <c r="BA15" s="58">
        <f t="shared" si="30"/>
        <v>1.3848700801754734</v>
      </c>
      <c r="BB15" s="57">
        <f t="shared" si="31"/>
        <v>-0.8253885932830366</v>
      </c>
      <c r="BC15" s="53">
        <f t="shared" si="32"/>
        <v>245.92700753446059</v>
      </c>
      <c r="BD15" s="55">
        <f t="shared" si="33"/>
        <v>412.62619499852281</v>
      </c>
      <c r="BE15" s="2"/>
      <c r="BF15" s="54">
        <f t="shared" si="34"/>
        <v>245.92700753446059</v>
      </c>
      <c r="BG15" s="53">
        <f t="shared" si="34"/>
        <v>412.62619499852281</v>
      </c>
      <c r="BH15" s="57">
        <f t="shared" si="35"/>
        <v>1.0418459019336372</v>
      </c>
      <c r="BI15" s="129">
        <f t="shared" si="36"/>
        <v>-0.6209446905703544</v>
      </c>
      <c r="BJ15" s="66" t="str">
        <f t="shared" si="17"/>
        <v>no</v>
      </c>
      <c r="BK15" s="2"/>
      <c r="BL15" s="70">
        <f t="shared" si="37"/>
        <v>480.35452515180242</v>
      </c>
      <c r="BM15" s="528">
        <f t="shared" si="38"/>
        <v>-59.204873937741411</v>
      </c>
      <c r="BN15" s="121"/>
      <c r="BO15" s="577">
        <f t="shared" si="39"/>
        <v>0.63142175874765893</v>
      </c>
      <c r="BP15" s="578">
        <f t="shared" si="40"/>
        <v>0.32561336684339509</v>
      </c>
      <c r="BR15" s="507" t="str">
        <f t="shared" si="41"/>
        <v>NO-OK</v>
      </c>
      <c r="BS15" s="512" t="str">
        <f t="shared" si="42"/>
        <v>NO-OK</v>
      </c>
    </row>
    <row r="16" spans="1:71" ht="20.100000000000001" customHeight="1" thickBot="1" x14ac:dyDescent="0.3">
      <c r="A16" s="236" t="s">
        <v>157</v>
      </c>
      <c r="B16" s="237">
        <f>+SUM(B4:B15)</f>
        <v>297.95299999999997</v>
      </c>
      <c r="C16" s="238">
        <f>+F16/B16</f>
        <v>-0.39561315332997449</v>
      </c>
      <c r="D16" s="238">
        <f>+E16/B16*-1</f>
        <v>1.5628888961788954</v>
      </c>
      <c r="E16" s="237">
        <f>+SUM(E4:E15)</f>
        <v>-465.66743528319034</v>
      </c>
      <c r="F16" s="239">
        <f>+SUM(F4:F15)</f>
        <v>-117.87412587412588</v>
      </c>
      <c r="G16" s="911" t="s">
        <v>160</v>
      </c>
      <c r="H16" s="912"/>
      <c r="I16" s="240">
        <f>+MAX(I12:I15)</f>
        <v>202</v>
      </c>
      <c r="J16" s="154"/>
      <c r="K16" s="176"/>
      <c r="L16" s="413">
        <f>+IF('Input Page'!$G$68="YES",Extracting!L15+15,0)</f>
        <v>150</v>
      </c>
      <c r="M16" s="9">
        <f t="shared" si="0"/>
        <v>90.884360031393058</v>
      </c>
      <c r="N16" s="9">
        <f t="shared" si="1"/>
        <v>88.611308938068746</v>
      </c>
      <c r="O16" s="9">
        <f t="shared" si="2"/>
        <v>0</v>
      </c>
      <c r="P16" s="9">
        <f t="shared" si="3"/>
        <v>274.92613118750353</v>
      </c>
      <c r="Q16" s="10">
        <f t="shared" si="4"/>
        <v>0</v>
      </c>
      <c r="R16" s="11">
        <f t="shared" si="18"/>
        <v>-0.8694360748014176</v>
      </c>
      <c r="S16" s="12">
        <f t="shared" si="19"/>
        <v>3.1126917755957466</v>
      </c>
      <c r="T16" s="13">
        <f t="shared" si="20"/>
        <v>2.0751278503971649</v>
      </c>
      <c r="U16" s="14">
        <f t="shared" si="21"/>
        <v>206.19459839062765</v>
      </c>
      <c r="W16" s="549" t="str">
        <f t="shared" si="22"/>
        <v>Max @ Rear</v>
      </c>
      <c r="X16" s="76">
        <f t="shared" si="23"/>
        <v>0</v>
      </c>
      <c r="Y16" s="76">
        <f t="shared" si="24"/>
        <v>181.76872006278614</v>
      </c>
      <c r="Z16" s="2"/>
      <c r="AA16" s="89">
        <f t="shared" si="5"/>
        <v>96.536892394705148</v>
      </c>
      <c r="AB16" s="90">
        <f t="shared" si="25"/>
        <v>-0.8694360748014176</v>
      </c>
      <c r="AC16" s="91">
        <f t="shared" si="6"/>
        <v>3.1126917755957466</v>
      </c>
      <c r="AD16" s="92">
        <f t="shared" si="7"/>
        <v>2.0751278503971649</v>
      </c>
      <c r="AE16" s="43">
        <f t="shared" si="8"/>
        <v>66.458481703551556</v>
      </c>
      <c r="AF16" s="2"/>
      <c r="AG16" s="89">
        <f t="shared" si="9"/>
        <v>299.51610760529485</v>
      </c>
      <c r="AH16" s="90">
        <f t="shared" si="26"/>
        <v>-0.8694360748014176</v>
      </c>
      <c r="AI16" s="91">
        <f t="shared" si="10"/>
        <v>3.1126917755957466</v>
      </c>
      <c r="AJ16" s="92">
        <f t="shared" si="11"/>
        <v>2.0751278503971649</v>
      </c>
      <c r="AK16" s="550">
        <f t="shared" si="12"/>
        <v>206.19459839062765</v>
      </c>
      <c r="AL16" s="42"/>
      <c r="AM16" s="525">
        <f t="shared" si="13"/>
        <v>150</v>
      </c>
      <c r="AN16" s="526"/>
      <c r="AO16" s="54">
        <f t="shared" si="43"/>
        <v>98.1</v>
      </c>
      <c r="AP16" s="75">
        <f t="shared" si="27"/>
        <v>0</v>
      </c>
      <c r="AQ16" s="75">
        <f t="shared" si="27"/>
        <v>0</v>
      </c>
      <c r="AR16" s="53">
        <f t="shared" si="27"/>
        <v>0</v>
      </c>
      <c r="AS16" s="55">
        <f t="shared" si="27"/>
        <v>0</v>
      </c>
      <c r="AT16" s="2"/>
      <c r="AU16" s="51">
        <f t="shared" si="14"/>
        <v>297.95299999999997</v>
      </c>
      <c r="AV16" s="50">
        <f t="shared" si="15"/>
        <v>-0.39561315332997449</v>
      </c>
      <c r="AW16" s="50">
        <f t="shared" si="16"/>
        <v>1.5628888961788954</v>
      </c>
      <c r="AX16" s="69">
        <f t="shared" si="28"/>
        <v>-14.204873937741402</v>
      </c>
      <c r="AY16" s="73">
        <f t="shared" si="29"/>
        <v>1.6121822070991145</v>
      </c>
      <c r="AZ16" s="527"/>
      <c r="BA16" s="58">
        <f t="shared" si="30"/>
        <v>1.1240554889444745</v>
      </c>
      <c r="BB16" s="57">
        <f t="shared" si="31"/>
        <v>-1.1556949107185559</v>
      </c>
      <c r="BC16" s="53">
        <f t="shared" si="32"/>
        <v>344.34276573332585</v>
      </c>
      <c r="BD16" s="55">
        <f t="shared" si="33"/>
        <v>334.91570509747299</v>
      </c>
      <c r="BE16" s="2"/>
      <c r="BF16" s="54">
        <f t="shared" si="34"/>
        <v>344.34276573332585</v>
      </c>
      <c r="BG16" s="53">
        <f t="shared" si="34"/>
        <v>334.91570509747299</v>
      </c>
      <c r="BH16" s="57">
        <f t="shared" si="35"/>
        <v>0.84563355181622912</v>
      </c>
      <c r="BI16" s="129">
        <f t="shared" si="36"/>
        <v>-0.8694360748014176</v>
      </c>
      <c r="BJ16" s="66" t="str">
        <f t="shared" si="17"/>
        <v>yes</v>
      </c>
      <c r="BK16" s="2"/>
      <c r="BL16" s="70">
        <f t="shared" si="37"/>
        <v>480.35452515180242</v>
      </c>
      <c r="BM16" s="528">
        <f t="shared" si="38"/>
        <v>-44.204873937741425</v>
      </c>
      <c r="BN16" s="121"/>
      <c r="BO16" s="577">
        <f t="shared" si="39"/>
        <v>0.51250518291892677</v>
      </c>
      <c r="BP16" s="578">
        <f t="shared" si="40"/>
        <v>0.45591823534421477</v>
      </c>
      <c r="BR16" s="507" t="str">
        <f t="shared" si="41"/>
        <v>NO-OK</v>
      </c>
      <c r="BS16" s="512" t="str">
        <f t="shared" si="42"/>
        <v>NO-OK</v>
      </c>
    </row>
    <row r="17" spans="1:71" ht="20.100000000000001" customHeight="1" thickBot="1" x14ac:dyDescent="0.3">
      <c r="A17" s="158"/>
      <c r="B17" s="154"/>
      <c r="C17" s="154"/>
      <c r="D17" s="155"/>
      <c r="E17" s="155"/>
      <c r="F17" s="155"/>
      <c r="G17" s="155"/>
      <c r="H17" s="155"/>
      <c r="I17" s="154"/>
      <c r="J17" s="154"/>
      <c r="K17" s="182"/>
      <c r="L17" s="413">
        <f>+IF('Input Page'!$G$68="YES",Extracting!L16+15,0)</f>
        <v>165</v>
      </c>
      <c r="M17" s="9">
        <f t="shared" si="0"/>
        <v>111.1585022937637</v>
      </c>
      <c r="N17" s="9">
        <f t="shared" si="1"/>
        <v>142.58029288250003</v>
      </c>
      <c r="O17" s="9">
        <f t="shared" si="2"/>
        <v>0</v>
      </c>
      <c r="P17" s="9">
        <f t="shared" si="3"/>
        <v>302.05371629255484</v>
      </c>
      <c r="Q17" s="10">
        <f t="shared" si="4"/>
        <v>0</v>
      </c>
      <c r="R17" s="11">
        <f t="shared" si="18"/>
        <v>-1.0586768273458131</v>
      </c>
      <c r="S17" s="12">
        <f t="shared" si="19"/>
        <v>2.5449695179625604</v>
      </c>
      <c r="T17" s="13">
        <f t="shared" si="20"/>
        <v>1.6966463453083738</v>
      </c>
      <c r="U17" s="14">
        <f t="shared" si="21"/>
        <v>226.54028721941614</v>
      </c>
      <c r="W17" s="549" t="str">
        <f t="shared" si="22"/>
        <v>Max @ Rear</v>
      </c>
      <c r="X17" s="76">
        <f t="shared" si="23"/>
        <v>0</v>
      </c>
      <c r="Y17" s="76">
        <f t="shared" si="24"/>
        <v>222.31700458752744</v>
      </c>
      <c r="Z17" s="2"/>
      <c r="AA17" s="89">
        <f t="shared" si="5"/>
        <v>127.00187473684787</v>
      </c>
      <c r="AB17" s="90">
        <f t="shared" si="25"/>
        <v>-1.0586768273458131</v>
      </c>
      <c r="AC17" s="91">
        <f t="shared" si="6"/>
        <v>2.5449695179625604</v>
      </c>
      <c r="AD17" s="92">
        <f t="shared" si="7"/>
        <v>1.6966463453083738</v>
      </c>
      <c r="AE17" s="43">
        <f t="shared" si="8"/>
        <v>106.93521966187502</v>
      </c>
      <c r="AF17" s="2"/>
      <c r="AG17" s="89">
        <f t="shared" si="9"/>
        <v>269.05112526315213</v>
      </c>
      <c r="AH17" s="90">
        <f t="shared" si="26"/>
        <v>-1.0586768273458131</v>
      </c>
      <c r="AI17" s="91">
        <f t="shared" si="10"/>
        <v>2.5449695179625604</v>
      </c>
      <c r="AJ17" s="92">
        <f t="shared" si="11"/>
        <v>1.6966463453083738</v>
      </c>
      <c r="AK17" s="550">
        <f t="shared" si="12"/>
        <v>226.54028721941614</v>
      </c>
      <c r="AL17" s="42"/>
      <c r="AM17" s="525">
        <f t="shared" si="13"/>
        <v>165</v>
      </c>
      <c r="AN17" s="526"/>
      <c r="AO17" s="54">
        <f t="shared" si="43"/>
        <v>98.1</v>
      </c>
      <c r="AP17" s="75">
        <f t="shared" si="27"/>
        <v>0</v>
      </c>
      <c r="AQ17" s="75">
        <f t="shared" si="27"/>
        <v>0</v>
      </c>
      <c r="AR17" s="53">
        <f t="shared" si="27"/>
        <v>0</v>
      </c>
      <c r="AS17" s="55">
        <f t="shared" si="27"/>
        <v>0</v>
      </c>
      <c r="AT17" s="2"/>
      <c r="AU17" s="51">
        <f t="shared" si="14"/>
        <v>297.95299999999997</v>
      </c>
      <c r="AV17" s="50">
        <f t="shared" si="15"/>
        <v>-0.39561315332997449</v>
      </c>
      <c r="AW17" s="50">
        <f t="shared" si="16"/>
        <v>1.5628888961788954</v>
      </c>
      <c r="AX17" s="69">
        <f t="shared" si="28"/>
        <v>-14.204873937741402</v>
      </c>
      <c r="AY17" s="73">
        <f t="shared" si="29"/>
        <v>1.6121822070991145</v>
      </c>
      <c r="AZ17" s="527"/>
      <c r="BA17" s="58">
        <f t="shared" si="30"/>
        <v>0.78663837373143419</v>
      </c>
      <c r="BB17" s="57">
        <f t="shared" si="31"/>
        <v>-1.4072425298647482</v>
      </c>
      <c r="BC17" s="53">
        <f t="shared" si="32"/>
        <v>419.29213350079129</v>
      </c>
      <c r="BD17" s="55">
        <f t="shared" si="33"/>
        <v>234.38126336840199</v>
      </c>
      <c r="BE17" s="2"/>
      <c r="BF17" s="54">
        <f t="shared" si="34"/>
        <v>419.29213350079129</v>
      </c>
      <c r="BG17" s="53">
        <f t="shared" si="34"/>
        <v>234.38126336840199</v>
      </c>
      <c r="BH17" s="57">
        <f t="shared" si="35"/>
        <v>0.59179267261806368</v>
      </c>
      <c r="BI17" s="129">
        <f t="shared" si="36"/>
        <v>-1.0586768273458131</v>
      </c>
      <c r="BJ17" s="66" t="str">
        <f t="shared" si="17"/>
        <v>yes</v>
      </c>
      <c r="BK17" s="2"/>
      <c r="BL17" s="70">
        <f t="shared" si="37"/>
        <v>480.35452515180242</v>
      </c>
      <c r="BM17" s="528">
        <f t="shared" si="38"/>
        <v>-29.204873937741407</v>
      </c>
      <c r="BN17" s="121"/>
      <c r="BO17" s="577">
        <f t="shared" si="39"/>
        <v>0.35866222582912954</v>
      </c>
      <c r="BP17" s="578">
        <f t="shared" si="40"/>
        <v>0.55515302954683432</v>
      </c>
      <c r="BR17" s="507" t="str">
        <f t="shared" si="41"/>
        <v>NO-OK</v>
      </c>
      <c r="BS17" s="512" t="str">
        <f t="shared" si="42"/>
        <v>NO-OK</v>
      </c>
    </row>
    <row r="18" spans="1:71" ht="20.100000000000001" customHeight="1" thickBot="1" x14ac:dyDescent="0.3">
      <c r="A18" s="844" t="s">
        <v>154</v>
      </c>
      <c r="B18" s="845"/>
      <c r="C18" s="845"/>
      <c r="D18" s="845"/>
      <c r="E18" s="845"/>
      <c r="F18" s="845"/>
      <c r="G18" s="817" t="s">
        <v>90</v>
      </c>
      <c r="H18" s="861" t="s">
        <v>89</v>
      </c>
      <c r="I18" s="858" t="s">
        <v>158</v>
      </c>
      <c r="J18" s="863" t="s">
        <v>29</v>
      </c>
      <c r="K18" s="241"/>
      <c r="L18" s="413">
        <f>+IF('Input Page'!$G$68="YES",Extracting!L17+15,0)</f>
        <v>180</v>
      </c>
      <c r="M18" s="9">
        <f t="shared" si="0"/>
        <v>128.95860164885224</v>
      </c>
      <c r="N18" s="9">
        <f t="shared" si="1"/>
        <v>211.39486398328287</v>
      </c>
      <c r="O18" s="9">
        <f t="shared" si="2"/>
        <v>0</v>
      </c>
      <c r="P18" s="9">
        <f t="shared" si="3"/>
        <v>304.43954261212622</v>
      </c>
      <c r="Q18" s="10">
        <f t="shared" si="4"/>
        <v>0</v>
      </c>
      <c r="R18" s="11">
        <f t="shared" si="18"/>
        <v>-1.1757705036527697</v>
      </c>
      <c r="S18" s="12">
        <f t="shared" si="19"/>
        <v>2.1936884890416906</v>
      </c>
      <c r="T18" s="13">
        <f t="shared" si="20"/>
        <v>1.4624589926944607</v>
      </c>
      <c r="U18" s="14">
        <f t="shared" si="21"/>
        <v>228.32965695909468</v>
      </c>
      <c r="W18" s="549" t="str">
        <f t="shared" si="22"/>
        <v>Max @ Rear</v>
      </c>
      <c r="X18" s="76">
        <f t="shared" si="23"/>
        <v>0</v>
      </c>
      <c r="Y18" s="76">
        <f t="shared" si="24"/>
        <v>257.91720329770453</v>
      </c>
      <c r="Z18" s="2"/>
      <c r="AA18" s="89">
        <f t="shared" si="5"/>
        <v>162.30706791693152</v>
      </c>
      <c r="AB18" s="90">
        <f t="shared" si="25"/>
        <v>-1.1757705036527697</v>
      </c>
      <c r="AC18" s="91">
        <f t="shared" si="6"/>
        <v>2.1936884890416906</v>
      </c>
      <c r="AD18" s="92">
        <f t="shared" si="7"/>
        <v>1.4624589926944607</v>
      </c>
      <c r="AE18" s="43">
        <f t="shared" si="8"/>
        <v>158.54614798746215</v>
      </c>
      <c r="AF18" s="2"/>
      <c r="AG18" s="89">
        <f t="shared" si="9"/>
        <v>233.74593208306848</v>
      </c>
      <c r="AH18" s="90">
        <f t="shared" si="26"/>
        <v>-1.1757705036527697</v>
      </c>
      <c r="AI18" s="91">
        <f t="shared" si="10"/>
        <v>2.1936884890416906</v>
      </c>
      <c r="AJ18" s="92">
        <f t="shared" si="11"/>
        <v>1.4624589926944607</v>
      </c>
      <c r="AK18" s="550">
        <f t="shared" si="12"/>
        <v>228.32965695909468</v>
      </c>
      <c r="AL18" s="42"/>
      <c r="AM18" s="521">
        <f t="shared" si="13"/>
        <v>180</v>
      </c>
      <c r="AN18" s="522"/>
      <c r="AO18" s="60">
        <f t="shared" si="43"/>
        <v>98.1</v>
      </c>
      <c r="AP18" s="74">
        <f t="shared" si="27"/>
        <v>0</v>
      </c>
      <c r="AQ18" s="74">
        <f t="shared" si="27"/>
        <v>0</v>
      </c>
      <c r="AR18" s="61">
        <f t="shared" si="27"/>
        <v>0</v>
      </c>
      <c r="AS18" s="62">
        <f t="shared" si="27"/>
        <v>0</v>
      </c>
      <c r="AT18" s="67"/>
      <c r="AU18" s="63">
        <f t="shared" si="14"/>
        <v>297.95299999999997</v>
      </c>
      <c r="AV18" s="64">
        <f t="shared" si="15"/>
        <v>-0.39561315332997449</v>
      </c>
      <c r="AW18" s="64">
        <f t="shared" si="16"/>
        <v>1.5628888961788954</v>
      </c>
      <c r="AX18" s="68">
        <f t="shared" si="28"/>
        <v>-14.204873937741402</v>
      </c>
      <c r="AY18" s="72">
        <f t="shared" si="29"/>
        <v>1.6121822070991145</v>
      </c>
      <c r="AZ18" s="523"/>
      <c r="BA18" s="65">
        <f t="shared" si="30"/>
        <v>0.3956131533299746</v>
      </c>
      <c r="BB18" s="66">
        <f t="shared" si="31"/>
        <v>-1.5628888961788954</v>
      </c>
      <c r="BC18" s="61">
        <f t="shared" si="32"/>
        <v>465.6674352831904</v>
      </c>
      <c r="BD18" s="62">
        <f t="shared" si="33"/>
        <v>117.87412587412591</v>
      </c>
      <c r="BE18" s="67"/>
      <c r="BF18" s="60">
        <f t="shared" si="34"/>
        <v>465.6674352831904</v>
      </c>
      <c r="BG18" s="61">
        <f t="shared" si="34"/>
        <v>117.87412587412591</v>
      </c>
      <c r="BH18" s="66">
        <f t="shared" si="35"/>
        <v>0.29762210076460954</v>
      </c>
      <c r="BI18" s="128">
        <f t="shared" si="36"/>
        <v>-1.1757705036527697</v>
      </c>
      <c r="BJ18" s="66" t="str">
        <f t="shared" si="17"/>
        <v>yes</v>
      </c>
      <c r="BK18" s="2"/>
      <c r="BL18" s="71">
        <f t="shared" si="37"/>
        <v>480.35452515180242</v>
      </c>
      <c r="BM18" s="524">
        <f t="shared" si="38"/>
        <v>-14.204873937741405</v>
      </c>
      <c r="BN18" s="120"/>
      <c r="BO18" s="577">
        <f t="shared" si="39"/>
        <v>0.18037703076643002</v>
      </c>
      <c r="BP18" s="578">
        <f t="shared" si="40"/>
        <v>0.61655506221959611</v>
      </c>
      <c r="BR18" s="507" t="str">
        <f t="shared" si="41"/>
        <v>NO-OK</v>
      </c>
      <c r="BS18" s="512" t="str">
        <f t="shared" si="42"/>
        <v>NO-OK</v>
      </c>
    </row>
    <row r="19" spans="1:71" ht="19.5" customHeight="1" thickBot="1" x14ac:dyDescent="0.3">
      <c r="A19" s="242" t="s">
        <v>155</v>
      </c>
      <c r="B19" s="194">
        <f>+'Input Page'!D57</f>
        <v>98.1</v>
      </c>
      <c r="C19" s="195">
        <f>+'Input Page'!E57</f>
        <v>9.9999999999999992E-25</v>
      </c>
      <c r="D19" s="195">
        <f>+'Input Page'!F57</f>
        <v>-9.9999999999999992E-25</v>
      </c>
      <c r="E19" s="194">
        <f>+'Input Page'!G57</f>
        <v>0</v>
      </c>
      <c r="F19" s="243">
        <f>+'Input Page'!H57</f>
        <v>0</v>
      </c>
      <c r="G19" s="860"/>
      <c r="H19" s="862"/>
      <c r="I19" s="859"/>
      <c r="J19" s="864"/>
      <c r="K19" s="241"/>
      <c r="L19" s="413">
        <f>+IF('Input Page'!$G$68="YES",Extracting!L18+15,0)</f>
        <v>195</v>
      </c>
      <c r="M19" s="9">
        <f t="shared" si="0"/>
        <v>135.82515943303639</v>
      </c>
      <c r="N19" s="9">
        <f t="shared" si="1"/>
        <v>274.42130447518099</v>
      </c>
      <c r="O19" s="9">
        <f t="shared" si="2"/>
        <v>0</v>
      </c>
      <c r="P19" s="9">
        <f t="shared" si="3"/>
        <v>268.87933325696457</v>
      </c>
      <c r="Q19" s="10">
        <f t="shared" si="4"/>
        <v>0</v>
      </c>
      <c r="R19" s="11">
        <f t="shared" si="18"/>
        <v>-1.2127373631884182</v>
      </c>
      <c r="S19" s="12">
        <f t="shared" si="19"/>
        <v>2.0827879104347455</v>
      </c>
      <c r="T19" s="13">
        <f t="shared" si="20"/>
        <v>1.3885252736231637</v>
      </c>
      <c r="U19" s="14">
        <f t="shared" si="21"/>
        <v>205.81597835638576</v>
      </c>
      <c r="W19" s="549" t="str">
        <f t="shared" si="22"/>
        <v>Max @ Rear</v>
      </c>
      <c r="X19" s="76">
        <f t="shared" si="23"/>
        <v>0</v>
      </c>
      <c r="Y19" s="76">
        <f t="shared" si="24"/>
        <v>271.65031886607278</v>
      </c>
      <c r="Z19" s="2"/>
      <c r="AA19" s="89">
        <f t="shared" si="5"/>
        <v>200.04648136432374</v>
      </c>
      <c r="AB19" s="90">
        <f t="shared" si="25"/>
        <v>-1.2127373631884182</v>
      </c>
      <c r="AC19" s="91">
        <f t="shared" si="6"/>
        <v>2.0827879104347455</v>
      </c>
      <c r="AD19" s="92">
        <f t="shared" si="7"/>
        <v>1.3885252736231637</v>
      </c>
      <c r="AE19" s="43">
        <f t="shared" si="8"/>
        <v>205.81597835638576</v>
      </c>
      <c r="AF19" s="2"/>
      <c r="AG19" s="89">
        <f t="shared" si="9"/>
        <v>196.00651863567626</v>
      </c>
      <c r="AH19" s="90">
        <f t="shared" si="26"/>
        <v>-1.2127373631884182</v>
      </c>
      <c r="AI19" s="91">
        <f t="shared" si="10"/>
        <v>2.0827879104347455</v>
      </c>
      <c r="AJ19" s="92">
        <f t="shared" si="11"/>
        <v>1.3885252736231637</v>
      </c>
      <c r="AK19" s="550">
        <f t="shared" si="12"/>
        <v>201.65949994272341</v>
      </c>
      <c r="AL19" s="42"/>
      <c r="AM19" s="525">
        <f t="shared" si="13"/>
        <v>195</v>
      </c>
      <c r="AN19" s="526"/>
      <c r="AO19" s="54">
        <f t="shared" si="43"/>
        <v>98.1</v>
      </c>
      <c r="AP19" s="75">
        <f t="shared" si="27"/>
        <v>0</v>
      </c>
      <c r="AQ19" s="75">
        <f t="shared" si="27"/>
        <v>0</v>
      </c>
      <c r="AR19" s="53">
        <f t="shared" si="27"/>
        <v>0</v>
      </c>
      <c r="AS19" s="55">
        <f t="shared" si="27"/>
        <v>0</v>
      </c>
      <c r="AT19" s="2"/>
      <c r="AU19" s="51">
        <f t="shared" si="14"/>
        <v>297.95299999999997</v>
      </c>
      <c r="AV19" s="50">
        <f t="shared" si="15"/>
        <v>-0.39561315332997449</v>
      </c>
      <c r="AW19" s="50">
        <f t="shared" si="16"/>
        <v>1.5628888961788954</v>
      </c>
      <c r="AX19" s="69">
        <f t="shared" si="28"/>
        <v>-14.204873937741402</v>
      </c>
      <c r="AY19" s="73">
        <f t="shared" si="29"/>
        <v>1.6121822070991145</v>
      </c>
      <c r="AZ19" s="527"/>
      <c r="BA19" s="58">
        <f t="shared" si="30"/>
        <v>-2.2372449689274366E-2</v>
      </c>
      <c r="BB19" s="57">
        <f t="shared" si="31"/>
        <v>-1.6120269670144707</v>
      </c>
      <c r="BC19" s="53">
        <f t="shared" si="32"/>
        <v>480.30827090286255</v>
      </c>
      <c r="BD19" s="55">
        <f t="shared" si="33"/>
        <v>-6.6659385022683644</v>
      </c>
      <c r="BE19" s="2"/>
      <c r="BF19" s="54">
        <f t="shared" si="34"/>
        <v>480.30827090286255</v>
      </c>
      <c r="BG19" s="53">
        <f t="shared" si="34"/>
        <v>-6.6659385022683644</v>
      </c>
      <c r="BH19" s="57">
        <f t="shared" si="35"/>
        <v>-1.6830925412175554E-2</v>
      </c>
      <c r="BI19" s="129">
        <f t="shared" si="36"/>
        <v>-1.2127373631884182</v>
      </c>
      <c r="BJ19" s="66" t="str">
        <f t="shared" si="17"/>
        <v>yes</v>
      </c>
      <c r="BK19" s="2"/>
      <c r="BL19" s="70">
        <f t="shared" si="37"/>
        <v>480.35452515180248</v>
      </c>
      <c r="BM19" s="528">
        <f t="shared" si="38"/>
        <v>0.79512606225857818</v>
      </c>
      <c r="BN19" s="121"/>
      <c r="BO19" s="577">
        <f t="shared" si="39"/>
        <v>1.0200560855863973E-2</v>
      </c>
      <c r="BP19" s="578">
        <f t="shared" si="40"/>
        <v>0.6359398863075082</v>
      </c>
      <c r="BR19" s="507" t="str">
        <f t="shared" si="41"/>
        <v>NO-OK</v>
      </c>
      <c r="BS19" s="512" t="str">
        <f t="shared" si="42"/>
        <v>NO-OK</v>
      </c>
    </row>
    <row r="20" spans="1:71" ht="19.5" customHeight="1" x14ac:dyDescent="0.25">
      <c r="A20" s="244" t="s">
        <v>74</v>
      </c>
      <c r="B20" s="245">
        <f>+G20</f>
        <v>0</v>
      </c>
      <c r="C20" s="246">
        <f>+'Input Page'!E62</f>
        <v>0</v>
      </c>
      <c r="D20" s="246">
        <f>+'Input Page'!F62</f>
        <v>0</v>
      </c>
      <c r="E20" s="245">
        <f>+B20*D20*-1</f>
        <v>0</v>
      </c>
      <c r="F20" s="247">
        <f>+B20*C20</f>
        <v>0</v>
      </c>
      <c r="G20" s="248">
        <v>0</v>
      </c>
      <c r="H20" s="249">
        <f>+'Input Page'!D62</f>
        <v>0</v>
      </c>
      <c r="I20" s="221">
        <f>+IF(J20=0,-1E-24,G20/J20*-1)</f>
        <v>-9.9999999999999992E-25</v>
      </c>
      <c r="J20" s="222">
        <f>+'Input Page'!C62</f>
        <v>0</v>
      </c>
      <c r="K20" s="241"/>
      <c r="L20" s="413">
        <f>+IF('Input Page'!$G$68="YES",Extracting!L19+15,0)</f>
        <v>210</v>
      </c>
      <c r="M20" s="9">
        <f t="shared" si="0"/>
        <v>127.44019897167995</v>
      </c>
      <c r="N20" s="9">
        <f t="shared" si="1"/>
        <v>305.87763288875709</v>
      </c>
      <c r="O20" s="9">
        <f t="shared" si="2"/>
        <v>0</v>
      </c>
      <c r="P20" s="9">
        <f t="shared" si="3"/>
        <v>203.88316299796276</v>
      </c>
      <c r="Q20" s="10">
        <f t="shared" si="4"/>
        <v>0</v>
      </c>
      <c r="R20" s="11">
        <f t="shared" si="18"/>
        <v>-1.1670581755660274</v>
      </c>
      <c r="S20" s="12">
        <f t="shared" si="19"/>
        <v>2.2198254733019174</v>
      </c>
      <c r="T20" s="13">
        <f t="shared" si="20"/>
        <v>1.4798836488679452</v>
      </c>
      <c r="U20" s="14">
        <f t="shared" si="21"/>
        <v>229.40822466656783</v>
      </c>
      <c r="W20" s="549" t="str">
        <f t="shared" si="22"/>
        <v>Max @ Rear</v>
      </c>
      <c r="X20" s="76">
        <f t="shared" si="23"/>
        <v>0</v>
      </c>
      <c r="Y20" s="76">
        <f t="shared" si="24"/>
        <v>254.88039794335992</v>
      </c>
      <c r="Z20" s="2"/>
      <c r="AA20" s="89">
        <f t="shared" si="5"/>
        <v>237.64823641991435</v>
      </c>
      <c r="AB20" s="90">
        <f t="shared" si="25"/>
        <v>-1.1670581755660274</v>
      </c>
      <c r="AC20" s="91">
        <f t="shared" si="6"/>
        <v>2.2198254733019174</v>
      </c>
      <c r="AD20" s="92">
        <f t="shared" si="7"/>
        <v>1.4798836488679452</v>
      </c>
      <c r="AE20" s="43">
        <f t="shared" si="8"/>
        <v>229.40822466656783</v>
      </c>
      <c r="AF20" s="2"/>
      <c r="AG20" s="89">
        <f t="shared" si="9"/>
        <v>158.40476358008564</v>
      </c>
      <c r="AH20" s="90">
        <f t="shared" si="26"/>
        <v>-1.1670581755660274</v>
      </c>
      <c r="AI20" s="91">
        <f t="shared" si="10"/>
        <v>2.2198254733019174</v>
      </c>
      <c r="AJ20" s="92">
        <f t="shared" si="11"/>
        <v>1.4798836488679452</v>
      </c>
      <c r="AK20" s="550">
        <f t="shared" si="12"/>
        <v>152.91237224847208</v>
      </c>
      <c r="AL20" s="42"/>
      <c r="AM20" s="525">
        <f t="shared" si="13"/>
        <v>210</v>
      </c>
      <c r="AN20" s="526"/>
      <c r="AO20" s="54">
        <f t="shared" si="43"/>
        <v>98.1</v>
      </c>
      <c r="AP20" s="75">
        <f t="shared" si="27"/>
        <v>0</v>
      </c>
      <c r="AQ20" s="75">
        <f t="shared" si="27"/>
        <v>0</v>
      </c>
      <c r="AR20" s="53">
        <f t="shared" si="27"/>
        <v>0</v>
      </c>
      <c r="AS20" s="55">
        <f t="shared" si="27"/>
        <v>0</v>
      </c>
      <c r="AT20" s="2"/>
      <c r="AU20" s="51">
        <f t="shared" si="14"/>
        <v>297.95299999999997</v>
      </c>
      <c r="AV20" s="50">
        <f t="shared" si="15"/>
        <v>-0.39561315332997449</v>
      </c>
      <c r="AW20" s="50">
        <f t="shared" si="16"/>
        <v>1.5628888961788954</v>
      </c>
      <c r="AX20" s="69">
        <f t="shared" si="28"/>
        <v>-14.204873937741402</v>
      </c>
      <c r="AY20" s="73">
        <f t="shared" si="29"/>
        <v>1.6121822070991145</v>
      </c>
      <c r="AZ20" s="527"/>
      <c r="BA20" s="58">
        <f t="shared" si="30"/>
        <v>-0.43883340723442121</v>
      </c>
      <c r="BB20" s="57">
        <f t="shared" si="31"/>
        <v>-1.5513080640485308</v>
      </c>
      <c r="BC20" s="53">
        <f t="shared" si="32"/>
        <v>462.21689160745188</v>
      </c>
      <c r="BD20" s="55">
        <f t="shared" si="33"/>
        <v>-130.75173018571749</v>
      </c>
      <c r="BE20" s="2"/>
      <c r="BF20" s="54">
        <f t="shared" si="34"/>
        <v>462.21689160745188</v>
      </c>
      <c r="BG20" s="53">
        <f t="shared" si="34"/>
        <v>-130.75173018571749</v>
      </c>
      <c r="BH20" s="57">
        <f t="shared" si="35"/>
        <v>-0.33013695183654079</v>
      </c>
      <c r="BI20" s="129">
        <f t="shared" si="36"/>
        <v>-1.1670581755660274</v>
      </c>
      <c r="BJ20" s="66" t="str">
        <f t="shared" si="17"/>
        <v>yes</v>
      </c>
      <c r="BK20" s="2"/>
      <c r="BL20" s="70">
        <f t="shared" si="37"/>
        <v>480.35452515180242</v>
      </c>
      <c r="BM20" s="528">
        <f t="shared" si="38"/>
        <v>15.795126062258591</v>
      </c>
      <c r="BN20" s="121"/>
      <c r="BO20" s="577">
        <f t="shared" si="39"/>
        <v>0.20008300111305505</v>
      </c>
      <c r="BP20" s="578">
        <f t="shared" si="40"/>
        <v>0.61198645808391583</v>
      </c>
      <c r="BR20" s="507" t="str">
        <f t="shared" si="41"/>
        <v>NO-OK</v>
      </c>
      <c r="BS20" s="512" t="str">
        <f t="shared" si="42"/>
        <v>NO-OK</v>
      </c>
    </row>
    <row r="21" spans="1:71" ht="18.75" customHeight="1" x14ac:dyDescent="0.25">
      <c r="A21" s="200" t="s">
        <v>75</v>
      </c>
      <c r="B21" s="201">
        <f>+G21</f>
        <v>0</v>
      </c>
      <c r="C21" s="202">
        <f>+'Input Page'!E63</f>
        <v>0</v>
      </c>
      <c r="D21" s="202">
        <f>+'Input Page'!F63</f>
        <v>0</v>
      </c>
      <c r="E21" s="201">
        <f t="shared" ref="E21:E23" si="48">+B21*D21*-1</f>
        <v>0</v>
      </c>
      <c r="F21" s="250">
        <f t="shared" ref="F21:F23" si="49">+B21*C21</f>
        <v>0</v>
      </c>
      <c r="G21" s="251">
        <v>0</v>
      </c>
      <c r="H21" s="252">
        <f>+'Input Page'!D63</f>
        <v>0</v>
      </c>
      <c r="I21" s="221">
        <f t="shared" ref="I21:I23" si="50">+IF(J21=0,-1E-24,G21/J21*-1)</f>
        <v>-9.9999999999999992E-25</v>
      </c>
      <c r="J21" s="222">
        <f>+'Input Page'!C63</f>
        <v>0</v>
      </c>
      <c r="K21" s="241"/>
      <c r="L21" s="413">
        <f>+IF('Input Page'!$G$68="YES",Extracting!L20+15,0)</f>
        <v>225</v>
      </c>
      <c r="M21" s="9">
        <f t="shared" si="0"/>
        <v>108.9959968335029</v>
      </c>
      <c r="N21" s="9">
        <f t="shared" si="1"/>
        <v>300.02894582117165</v>
      </c>
      <c r="O21" s="9">
        <f t="shared" si="2"/>
        <v>0</v>
      </c>
      <c r="P21" s="9">
        <f t="shared" si="3"/>
        <v>135.95504151284001</v>
      </c>
      <c r="Q21" s="10">
        <f t="shared" si="4"/>
        <v>0</v>
      </c>
      <c r="R21" s="11">
        <f t="shared" si="18"/>
        <v>-1.0418459019336372</v>
      </c>
      <c r="S21" s="12">
        <f t="shared" si="19"/>
        <v>2.5954622941990881</v>
      </c>
      <c r="T21" s="13">
        <f t="shared" si="20"/>
        <v>1.7303081961327256</v>
      </c>
      <c r="U21" s="14">
        <f t="shared" si="21"/>
        <v>225.02170936587873</v>
      </c>
      <c r="W21" s="549" t="str">
        <f t="shared" si="22"/>
        <v>Max @ Rear</v>
      </c>
      <c r="X21" s="76">
        <f t="shared" si="23"/>
        <v>0</v>
      </c>
      <c r="Y21" s="76">
        <f t="shared" si="24"/>
        <v>217.99199366700583</v>
      </c>
      <c r="Z21" s="2"/>
      <c r="AA21" s="89">
        <f t="shared" si="5"/>
        <v>272.54983561650323</v>
      </c>
      <c r="AB21" s="90">
        <f t="shared" si="25"/>
        <v>-1.0418459019336372</v>
      </c>
      <c r="AC21" s="91">
        <f t="shared" si="6"/>
        <v>2.5954622941990881</v>
      </c>
      <c r="AD21" s="92">
        <f t="shared" si="7"/>
        <v>1.7303081961327256</v>
      </c>
      <c r="AE21" s="43">
        <f t="shared" si="8"/>
        <v>225.02170936587873</v>
      </c>
      <c r="AF21" s="2"/>
      <c r="AG21" s="89">
        <f t="shared" si="9"/>
        <v>123.50316438349677</v>
      </c>
      <c r="AH21" s="90">
        <f t="shared" si="26"/>
        <v>-1.0418459019336372</v>
      </c>
      <c r="AI21" s="91">
        <f t="shared" si="10"/>
        <v>2.5954622941990881</v>
      </c>
      <c r="AJ21" s="92">
        <f t="shared" si="11"/>
        <v>1.7303081961327256</v>
      </c>
      <c r="AK21" s="550">
        <f t="shared" si="12"/>
        <v>101.96628113463001</v>
      </c>
      <c r="AL21" s="42"/>
      <c r="AM21" s="525">
        <f t="shared" si="13"/>
        <v>225</v>
      </c>
      <c r="AN21" s="526"/>
      <c r="AO21" s="54">
        <f t="shared" si="43"/>
        <v>98.1</v>
      </c>
      <c r="AP21" s="75">
        <f t="shared" si="27"/>
        <v>0</v>
      </c>
      <c r="AQ21" s="75">
        <f t="shared" si="27"/>
        <v>0</v>
      </c>
      <c r="AR21" s="53">
        <f t="shared" si="27"/>
        <v>0</v>
      </c>
      <c r="AS21" s="55">
        <f t="shared" si="27"/>
        <v>0</v>
      </c>
      <c r="AT21" s="2"/>
      <c r="AU21" s="51">
        <f t="shared" si="14"/>
        <v>297.95299999999997</v>
      </c>
      <c r="AV21" s="50">
        <f t="shared" si="15"/>
        <v>-0.39561315332997449</v>
      </c>
      <c r="AW21" s="50">
        <f t="shared" si="16"/>
        <v>1.5628888961788954</v>
      </c>
      <c r="AX21" s="69">
        <f t="shared" si="28"/>
        <v>-14.204873937741402</v>
      </c>
      <c r="AY21" s="73">
        <f t="shared" si="29"/>
        <v>1.6121822070991145</v>
      </c>
      <c r="AZ21" s="527"/>
      <c r="BA21" s="58">
        <f t="shared" si="30"/>
        <v>-0.8253885932830366</v>
      </c>
      <c r="BB21" s="57">
        <f t="shared" si="31"/>
        <v>-1.3848700801754734</v>
      </c>
      <c r="BC21" s="53">
        <f t="shared" si="32"/>
        <v>412.62619499852281</v>
      </c>
      <c r="BD21" s="55">
        <f t="shared" si="33"/>
        <v>-245.92700753446059</v>
      </c>
      <c r="BE21" s="2"/>
      <c r="BF21" s="54">
        <f t="shared" si="34"/>
        <v>412.62619499852281</v>
      </c>
      <c r="BG21" s="53">
        <f t="shared" si="34"/>
        <v>-245.92700753446059</v>
      </c>
      <c r="BH21" s="57">
        <f t="shared" si="35"/>
        <v>-0.6209446905703544</v>
      </c>
      <c r="BI21" s="129">
        <f t="shared" si="36"/>
        <v>-1.0418459019336372</v>
      </c>
      <c r="BJ21" s="66" t="str">
        <f t="shared" si="17"/>
        <v>yes</v>
      </c>
      <c r="BK21" s="2"/>
      <c r="BL21" s="70">
        <f t="shared" si="37"/>
        <v>480.35452515180242</v>
      </c>
      <c r="BM21" s="528">
        <f t="shared" si="38"/>
        <v>30.795126062258596</v>
      </c>
      <c r="BN21" s="121"/>
      <c r="BO21" s="577">
        <f t="shared" si="39"/>
        <v>0.37633011549718448</v>
      </c>
      <c r="BP21" s="578">
        <f t="shared" si="40"/>
        <v>0.54632716409734516</v>
      </c>
      <c r="BR21" s="507" t="str">
        <f t="shared" si="41"/>
        <v>NO-OK</v>
      </c>
      <c r="BS21" s="512" t="str">
        <f t="shared" si="42"/>
        <v>NO-OK</v>
      </c>
    </row>
    <row r="22" spans="1:71" ht="20.100000000000001" customHeight="1" x14ac:dyDescent="0.25">
      <c r="A22" s="200" t="s">
        <v>77</v>
      </c>
      <c r="B22" s="201">
        <f>+G22</f>
        <v>0</v>
      </c>
      <c r="C22" s="202">
        <f>+'Input Page'!E64</f>
        <v>0</v>
      </c>
      <c r="D22" s="202">
        <f>+'Input Page'!F64</f>
        <v>0</v>
      </c>
      <c r="E22" s="201">
        <f t="shared" si="48"/>
        <v>0</v>
      </c>
      <c r="F22" s="250">
        <f t="shared" si="49"/>
        <v>0</v>
      </c>
      <c r="G22" s="251">
        <v>0</v>
      </c>
      <c r="H22" s="252">
        <f>+'Input Page'!D64</f>
        <v>0</v>
      </c>
      <c r="I22" s="221">
        <f t="shared" si="50"/>
        <v>-9.9999999999999992E-25</v>
      </c>
      <c r="J22" s="222">
        <f>+'Input Page'!C64</f>
        <v>0</v>
      </c>
      <c r="K22" s="253"/>
      <c r="L22" s="413">
        <f>+IF('Input Page'!$G$68="YES",Extracting!L21+15,0)</f>
        <v>240</v>
      </c>
      <c r="M22" s="9">
        <f t="shared" si="0"/>
        <v>88.846160055933836</v>
      </c>
      <c r="N22" s="9">
        <f t="shared" si="1"/>
        <v>271.32390394242486</v>
      </c>
      <c r="O22" s="9">
        <f t="shared" si="2"/>
        <v>0</v>
      </c>
      <c r="P22" s="9">
        <f t="shared" si="3"/>
        <v>84.060736281310582</v>
      </c>
      <c r="Q22" s="10">
        <f t="shared" si="4"/>
        <v>0</v>
      </c>
      <c r="R22" s="11">
        <f t="shared" si="18"/>
        <v>-0.84563355181622912</v>
      </c>
      <c r="S22" s="12">
        <f t="shared" si="19"/>
        <v>3.1840993445513122</v>
      </c>
      <c r="T22" s="13">
        <f t="shared" si="20"/>
        <v>2.122732896367542</v>
      </c>
      <c r="U22" s="14">
        <f t="shared" si="21"/>
        <v>203.49292795681865</v>
      </c>
      <c r="W22" s="549" t="str">
        <f t="shared" si="22"/>
        <v>Max @ Rear</v>
      </c>
      <c r="X22" s="76">
        <f t="shared" si="23"/>
        <v>0</v>
      </c>
      <c r="Y22" s="76">
        <f t="shared" si="24"/>
        <v>177.69232011186773</v>
      </c>
      <c r="Z22" s="2"/>
      <c r="AA22" s="89">
        <f t="shared" si="5"/>
        <v>302.37279264646236</v>
      </c>
      <c r="AB22" s="90">
        <f t="shared" si="25"/>
        <v>-0.84563355181622912</v>
      </c>
      <c r="AC22" s="91">
        <f t="shared" si="6"/>
        <v>3.1840993445513122</v>
      </c>
      <c r="AD22" s="92">
        <f t="shared" si="7"/>
        <v>2.122732896367542</v>
      </c>
      <c r="AE22" s="43">
        <f t="shared" si="8"/>
        <v>203.49292795681865</v>
      </c>
      <c r="AF22" s="2"/>
      <c r="AG22" s="89">
        <f t="shared" si="9"/>
        <v>93.680207353537639</v>
      </c>
      <c r="AH22" s="90">
        <f t="shared" si="26"/>
        <v>-0.84563355181622912</v>
      </c>
      <c r="AI22" s="91">
        <f t="shared" si="10"/>
        <v>3.1840993445513122</v>
      </c>
      <c r="AJ22" s="92">
        <f t="shared" si="11"/>
        <v>2.122732896367542</v>
      </c>
      <c r="AK22" s="550">
        <f t="shared" si="12"/>
        <v>63.045552210982933</v>
      </c>
      <c r="AL22" s="42"/>
      <c r="AM22" s="525">
        <f t="shared" si="13"/>
        <v>240</v>
      </c>
      <c r="AN22" s="526"/>
      <c r="AO22" s="54">
        <f t="shared" si="43"/>
        <v>98.1</v>
      </c>
      <c r="AP22" s="75">
        <f t="shared" si="27"/>
        <v>0</v>
      </c>
      <c r="AQ22" s="75">
        <f t="shared" si="27"/>
        <v>0</v>
      </c>
      <c r="AR22" s="53">
        <f t="shared" si="27"/>
        <v>0</v>
      </c>
      <c r="AS22" s="55">
        <f t="shared" si="27"/>
        <v>0</v>
      </c>
      <c r="AT22" s="2"/>
      <c r="AU22" s="51">
        <f t="shared" si="14"/>
        <v>297.95299999999997</v>
      </c>
      <c r="AV22" s="50">
        <f t="shared" si="15"/>
        <v>-0.39561315332997449</v>
      </c>
      <c r="AW22" s="50">
        <f t="shared" si="16"/>
        <v>1.5628888961788954</v>
      </c>
      <c r="AX22" s="69">
        <f t="shared" si="28"/>
        <v>-14.204873937741402</v>
      </c>
      <c r="AY22" s="73">
        <f t="shared" si="29"/>
        <v>1.6121822070991145</v>
      </c>
      <c r="AZ22" s="527"/>
      <c r="BA22" s="58">
        <f t="shared" si="30"/>
        <v>-1.1556949107185559</v>
      </c>
      <c r="BB22" s="57">
        <f t="shared" si="31"/>
        <v>-1.1240554889444745</v>
      </c>
      <c r="BC22" s="53">
        <f t="shared" si="32"/>
        <v>334.91570509747299</v>
      </c>
      <c r="BD22" s="55">
        <f t="shared" si="33"/>
        <v>-344.34276573332585</v>
      </c>
      <c r="BE22" s="2"/>
      <c r="BF22" s="54">
        <f t="shared" si="34"/>
        <v>334.91570509747299</v>
      </c>
      <c r="BG22" s="53">
        <f t="shared" si="34"/>
        <v>-344.34276573332585</v>
      </c>
      <c r="BH22" s="57">
        <f t="shared" si="35"/>
        <v>-0.8694360748014176</v>
      </c>
      <c r="BI22" s="129">
        <f t="shared" si="36"/>
        <v>-0.84563355181622912</v>
      </c>
      <c r="BJ22" s="66" t="str">
        <f t="shared" si="17"/>
        <v>yes</v>
      </c>
      <c r="BK22" s="2"/>
      <c r="BL22" s="70">
        <f t="shared" si="37"/>
        <v>480.35452515180242</v>
      </c>
      <c r="BM22" s="528">
        <f t="shared" si="38"/>
        <v>45.795126062258575</v>
      </c>
      <c r="BN22" s="121"/>
      <c r="BO22" s="577">
        <f t="shared" si="39"/>
        <v>0.52693095442510163</v>
      </c>
      <c r="BP22" s="578">
        <f t="shared" si="40"/>
        <v>0.44343657672586739</v>
      </c>
      <c r="BR22" s="507" t="str">
        <f t="shared" si="41"/>
        <v>NO-OK</v>
      </c>
      <c r="BS22" s="512" t="str">
        <f t="shared" si="42"/>
        <v>NO-OK</v>
      </c>
    </row>
    <row r="23" spans="1:71" ht="16.5" thickBot="1" x14ac:dyDescent="0.3">
      <c r="A23" s="207" t="s">
        <v>78</v>
      </c>
      <c r="B23" s="208">
        <f>+G23</f>
        <v>0</v>
      </c>
      <c r="C23" s="209">
        <f>+'Input Page'!E65</f>
        <v>0</v>
      </c>
      <c r="D23" s="209">
        <f>+'Input Page'!F65</f>
        <v>0</v>
      </c>
      <c r="E23" s="208">
        <f t="shared" si="48"/>
        <v>0</v>
      </c>
      <c r="F23" s="254">
        <f t="shared" si="49"/>
        <v>0</v>
      </c>
      <c r="G23" s="255">
        <v>0</v>
      </c>
      <c r="H23" s="256">
        <f>+'Input Page'!D65</f>
        <v>0</v>
      </c>
      <c r="I23" s="234">
        <f t="shared" si="50"/>
        <v>-9.9999999999999992E-25</v>
      </c>
      <c r="J23" s="235">
        <f>+'Input Page'!C65</f>
        <v>0</v>
      </c>
      <c r="K23" s="253"/>
      <c r="L23" s="413">
        <f>+IF('Input Page'!$G$68="YES",Extracting!L22+15,0)</f>
        <v>255</v>
      </c>
      <c r="M23" s="9">
        <f t="shared" si="0"/>
        <v>74.172784478238071</v>
      </c>
      <c r="N23" s="9">
        <f t="shared" si="1"/>
        <v>235.1232127705259</v>
      </c>
      <c r="O23" s="9">
        <f t="shared" si="2"/>
        <v>8.4041842427088582</v>
      </c>
      <c r="P23" s="9">
        <f t="shared" si="3"/>
        <v>51.329048462510634</v>
      </c>
      <c r="Q23" s="10">
        <f t="shared" si="4"/>
        <v>1.8346924372068938</v>
      </c>
      <c r="R23" s="11">
        <f t="shared" si="18"/>
        <v>-0.59179267261806334</v>
      </c>
      <c r="S23" s="12">
        <f t="shared" si="19"/>
        <v>3.8140000000000001</v>
      </c>
      <c r="T23" s="13">
        <f t="shared" si="20"/>
        <v>2.6304146547638734</v>
      </c>
      <c r="U23" s="14">
        <f t="shared" si="21"/>
        <v>176.55267593007213</v>
      </c>
      <c r="W23" s="549" t="str">
        <f t="shared" si="22"/>
        <v>Max @ Rear</v>
      </c>
      <c r="X23" s="76">
        <f t="shared" si="23"/>
        <v>5.1194383399578767</v>
      </c>
      <c r="Y23" s="76">
        <f t="shared" si="24"/>
        <v>143.22613061651828</v>
      </c>
      <c r="Z23" s="2"/>
      <c r="AA23" s="89">
        <f t="shared" si="5"/>
        <v>325.08472227296704</v>
      </c>
      <c r="AB23" s="90">
        <f t="shared" si="25"/>
        <v>-0.59179267261806334</v>
      </c>
      <c r="AC23" s="91">
        <f t="shared" si="6"/>
        <v>3.8140000000000001</v>
      </c>
      <c r="AD23" s="92">
        <f t="shared" si="7"/>
        <v>2.6304146547638734</v>
      </c>
      <c r="AE23" s="43">
        <f t="shared" si="8"/>
        <v>176.55267593007213</v>
      </c>
      <c r="AF23" s="2"/>
      <c r="AG23" s="89">
        <f t="shared" si="9"/>
        <v>70.968277727032955</v>
      </c>
      <c r="AH23" s="90">
        <f t="shared" si="26"/>
        <v>-0.59179267261806334</v>
      </c>
      <c r="AI23" s="91">
        <f t="shared" si="10"/>
        <v>3.8140000000000001</v>
      </c>
      <c r="AJ23" s="92">
        <f t="shared" si="11"/>
        <v>2.6304146547638734</v>
      </c>
      <c r="AK23" s="550">
        <f t="shared" si="12"/>
        <v>38.542688968124793</v>
      </c>
      <c r="AL23" s="42"/>
      <c r="AM23" s="525">
        <f t="shared" si="13"/>
        <v>255</v>
      </c>
      <c r="AN23" s="526"/>
      <c r="AO23" s="54">
        <f t="shared" si="43"/>
        <v>98.1</v>
      </c>
      <c r="AP23" s="75">
        <f t="shared" si="43"/>
        <v>0</v>
      </c>
      <c r="AQ23" s="75">
        <f t="shared" si="43"/>
        <v>0</v>
      </c>
      <c r="AR23" s="53">
        <f t="shared" si="43"/>
        <v>0</v>
      </c>
      <c r="AS23" s="55">
        <f t="shared" si="43"/>
        <v>0</v>
      </c>
      <c r="AT23" s="2"/>
      <c r="AU23" s="51">
        <f t="shared" si="14"/>
        <v>297.95299999999997</v>
      </c>
      <c r="AV23" s="50">
        <f t="shared" si="15"/>
        <v>-0.39561315332997449</v>
      </c>
      <c r="AW23" s="50">
        <f t="shared" si="16"/>
        <v>1.5628888961788954</v>
      </c>
      <c r="AX23" s="69">
        <f t="shared" si="28"/>
        <v>-14.204873937741402</v>
      </c>
      <c r="AY23" s="73">
        <f t="shared" si="29"/>
        <v>1.6121822070991145</v>
      </c>
      <c r="AZ23" s="527"/>
      <c r="BA23" s="58">
        <f t="shared" si="30"/>
        <v>-1.4072425298647484</v>
      </c>
      <c r="BB23" s="57">
        <f t="shared" si="31"/>
        <v>-0.78663837373143375</v>
      </c>
      <c r="BC23" s="53">
        <f t="shared" si="32"/>
        <v>234.38126336840185</v>
      </c>
      <c r="BD23" s="55">
        <f t="shared" si="33"/>
        <v>-419.29213350079135</v>
      </c>
      <c r="BE23" s="2"/>
      <c r="BF23" s="54">
        <f t="shared" si="34"/>
        <v>234.38126336840185</v>
      </c>
      <c r="BG23" s="53">
        <f t="shared" si="34"/>
        <v>-419.29213350079135</v>
      </c>
      <c r="BH23" s="57">
        <f t="shared" si="35"/>
        <v>-1.0586768273458131</v>
      </c>
      <c r="BI23" s="129">
        <f t="shared" si="36"/>
        <v>-0.59179267261806334</v>
      </c>
      <c r="BJ23" s="66" t="str">
        <f t="shared" si="17"/>
        <v>no</v>
      </c>
      <c r="BK23" s="2"/>
      <c r="BL23" s="70">
        <f t="shared" si="37"/>
        <v>480.35452515180242</v>
      </c>
      <c r="BM23" s="528">
        <f t="shared" si="38"/>
        <v>60.795126062258603</v>
      </c>
      <c r="BN23" s="121"/>
      <c r="BO23" s="577">
        <f t="shared" si="39"/>
        <v>0.64162231960352312</v>
      </c>
      <c r="BP23" s="578">
        <f t="shared" si="40"/>
        <v>0.31032651946411294</v>
      </c>
      <c r="BR23" s="507" t="str">
        <f t="shared" si="41"/>
        <v>NO-OK</v>
      </c>
      <c r="BS23" s="512" t="str">
        <f t="shared" si="42"/>
        <v>NO-OK</v>
      </c>
    </row>
    <row r="24" spans="1:71" ht="16.5" thickBot="1" x14ac:dyDescent="0.3">
      <c r="A24" s="831" t="s">
        <v>156</v>
      </c>
      <c r="B24" s="829">
        <f>+SUM(B19:B23)</f>
        <v>98.1</v>
      </c>
      <c r="C24" s="825">
        <f>+F24/B24</f>
        <v>0</v>
      </c>
      <c r="D24" s="825">
        <f>+E24/B24*-1</f>
        <v>0</v>
      </c>
      <c r="E24" s="829">
        <f>+SUM(E19:E23)</f>
        <v>0</v>
      </c>
      <c r="F24" s="842">
        <f>+SUM(F19:F23)</f>
        <v>0</v>
      </c>
      <c r="G24" s="913" t="s">
        <v>160</v>
      </c>
      <c r="H24" s="913"/>
      <c r="I24" s="240">
        <f>+MAX(I20:I23)</f>
        <v>-9.9999999999999992E-25</v>
      </c>
      <c r="J24" s="154"/>
      <c r="K24" s="253"/>
      <c r="L24" s="413">
        <f>+IF('Input Page'!$G$68="YES",Extracting!L23+15,0)</f>
        <v>270</v>
      </c>
      <c r="M24" s="9">
        <f t="shared" si="0"/>
        <v>74.172784478238071</v>
      </c>
      <c r="N24" s="9">
        <f t="shared" si="1"/>
        <v>186.50227199324826</v>
      </c>
      <c r="O24" s="9">
        <f t="shared" si="2"/>
        <v>67.552596555114349</v>
      </c>
      <c r="P24" s="9">
        <f t="shared" si="3"/>
        <v>31.299384858268855</v>
      </c>
      <c r="Q24" s="10">
        <f t="shared" si="4"/>
        <v>11.336884506320841</v>
      </c>
      <c r="R24" s="11">
        <f t="shared" si="18"/>
        <v>-0.29762210076460965</v>
      </c>
      <c r="S24" s="12">
        <f t="shared" si="19"/>
        <v>3.8140000000000001</v>
      </c>
      <c r="T24" s="13">
        <f t="shared" si="20"/>
        <v>3.2187557984707809</v>
      </c>
      <c r="U24" s="14">
        <f t="shared" si="21"/>
        <v>150.51860552823032</v>
      </c>
      <c r="W24" s="549" t="str">
        <f t="shared" si="22"/>
        <v>Max @ Rear</v>
      </c>
      <c r="X24" s="76">
        <f t="shared" si="23"/>
        <v>39.444740530717596</v>
      </c>
      <c r="Y24" s="76">
        <f t="shared" si="24"/>
        <v>108.90082842575855</v>
      </c>
      <c r="Z24" s="2"/>
      <c r="AA24" s="89">
        <f t="shared" si="5"/>
        <v>339.13784402520923</v>
      </c>
      <c r="AB24" s="90">
        <f t="shared" si="25"/>
        <v>-0.29762210076460965</v>
      </c>
      <c r="AC24" s="91">
        <f t="shared" si="6"/>
        <v>3.8140000000000001</v>
      </c>
      <c r="AD24" s="92">
        <f t="shared" si="7"/>
        <v>3.2187557984707809</v>
      </c>
      <c r="AE24" s="43">
        <f t="shared" si="8"/>
        <v>150.51860552823032</v>
      </c>
      <c r="AF24" s="2"/>
      <c r="AG24" s="89">
        <f t="shared" si="9"/>
        <v>56.915155974790764</v>
      </c>
      <c r="AH24" s="90">
        <f t="shared" si="26"/>
        <v>-0.29762210076460965</v>
      </c>
      <c r="AI24" s="91">
        <f t="shared" si="10"/>
        <v>3.8140000000000001</v>
      </c>
      <c r="AJ24" s="92">
        <f t="shared" si="11"/>
        <v>3.2187557984707809</v>
      </c>
      <c r="AK24" s="550">
        <f t="shared" si="12"/>
        <v>25.260495287309897</v>
      </c>
      <c r="AL24" s="42"/>
      <c r="AM24" s="521">
        <f t="shared" si="13"/>
        <v>270</v>
      </c>
      <c r="AN24" s="522"/>
      <c r="AO24" s="60">
        <f t="shared" si="43"/>
        <v>98.1</v>
      </c>
      <c r="AP24" s="74">
        <f t="shared" si="43"/>
        <v>0</v>
      </c>
      <c r="AQ24" s="74">
        <f t="shared" si="43"/>
        <v>0</v>
      </c>
      <c r="AR24" s="61">
        <f t="shared" si="43"/>
        <v>0</v>
      </c>
      <c r="AS24" s="62">
        <f t="shared" si="43"/>
        <v>0</v>
      </c>
      <c r="AT24" s="67"/>
      <c r="AU24" s="63">
        <f t="shared" si="14"/>
        <v>297.95299999999997</v>
      </c>
      <c r="AV24" s="64">
        <f t="shared" si="15"/>
        <v>-0.39561315332997449</v>
      </c>
      <c r="AW24" s="64">
        <f t="shared" si="16"/>
        <v>1.5628888961788954</v>
      </c>
      <c r="AX24" s="68">
        <f t="shared" si="28"/>
        <v>-14.204873937741402</v>
      </c>
      <c r="AY24" s="72">
        <f t="shared" si="29"/>
        <v>1.6121822070991145</v>
      </c>
      <c r="AZ24" s="523"/>
      <c r="BA24" s="65">
        <f t="shared" si="30"/>
        <v>-1.5628888961788954</v>
      </c>
      <c r="BB24" s="66">
        <f t="shared" si="31"/>
        <v>-0.39561315332997471</v>
      </c>
      <c r="BC24" s="61">
        <f t="shared" si="32"/>
        <v>117.87412587412595</v>
      </c>
      <c r="BD24" s="62">
        <f t="shared" si="33"/>
        <v>-465.6674352831904</v>
      </c>
      <c r="BE24" s="67"/>
      <c r="BF24" s="60">
        <f t="shared" si="34"/>
        <v>117.87412587412595</v>
      </c>
      <c r="BG24" s="61">
        <f t="shared" si="34"/>
        <v>-465.6674352831904</v>
      </c>
      <c r="BH24" s="66">
        <f t="shared" si="35"/>
        <v>-1.1757705036527697</v>
      </c>
      <c r="BI24" s="128">
        <f t="shared" si="36"/>
        <v>-0.29762210076460965</v>
      </c>
      <c r="BJ24" s="66" t="str">
        <f t="shared" si="17"/>
        <v>no</v>
      </c>
      <c r="BK24" s="2"/>
      <c r="BL24" s="71">
        <f t="shared" si="37"/>
        <v>480.35452515180242</v>
      </c>
      <c r="BM24" s="524">
        <f t="shared" si="38"/>
        <v>75.795126062258589</v>
      </c>
      <c r="BN24" s="120"/>
      <c r="BO24" s="577">
        <f t="shared" si="39"/>
        <v>0.71258818403198165</v>
      </c>
      <c r="BP24" s="578">
        <f t="shared" si="40"/>
        <v>0.15606822273970092</v>
      </c>
      <c r="BR24" s="507" t="str">
        <f t="shared" si="41"/>
        <v>NO-OK</v>
      </c>
      <c r="BS24" s="512" t="str">
        <f t="shared" si="42"/>
        <v>NO-OK</v>
      </c>
    </row>
    <row r="25" spans="1:71" ht="16.5" thickBot="1" x14ac:dyDescent="0.3">
      <c r="A25" s="832"/>
      <c r="B25" s="830"/>
      <c r="C25" s="826"/>
      <c r="D25" s="826"/>
      <c r="E25" s="830"/>
      <c r="F25" s="843"/>
      <c r="G25" s="257"/>
      <c r="H25" s="480"/>
      <c r="I25" s="259"/>
      <c r="J25" s="259"/>
      <c r="K25" s="260"/>
      <c r="L25" s="413">
        <f>+IF('Input Page'!$G$68="YES",Extracting!L24+15,0)</f>
        <v>285</v>
      </c>
      <c r="M25" s="9">
        <f t="shared" si="0"/>
        <v>74.172784478238071</v>
      </c>
      <c r="N25" s="9">
        <f t="shared" si="1"/>
        <v>132.09659404092778</v>
      </c>
      <c r="O25" s="9">
        <f t="shared" si="2"/>
        <v>125.28183196825293</v>
      </c>
      <c r="P25" s="9">
        <f t="shared" si="3"/>
        <v>20.1768090104616</v>
      </c>
      <c r="Q25" s="10">
        <f t="shared" si="4"/>
        <v>19.135902893309968</v>
      </c>
      <c r="R25" s="11">
        <f t="shared" si="18"/>
        <v>1.6830925412175478E-2</v>
      </c>
      <c r="S25" s="12">
        <f t="shared" si="19"/>
        <v>3.8140000000000001</v>
      </c>
      <c r="T25" s="13">
        <f t="shared" si="20"/>
        <v>3.7803381491756491</v>
      </c>
      <c r="U25" s="14">
        <f t="shared" si="21"/>
        <v>129.83512030703849</v>
      </c>
      <c r="W25" s="549" t="str">
        <f t="shared" si="22"/>
        <v>Max @ Front</v>
      </c>
      <c r="X25" s="76">
        <f t="shared" si="23"/>
        <v>72.208867430781453</v>
      </c>
      <c r="Y25" s="76">
        <f t="shared" si="24"/>
        <v>76.13670152569469</v>
      </c>
      <c r="Z25" s="2"/>
      <c r="AA25" s="89">
        <f t="shared" si="5"/>
        <v>343.57446087965531</v>
      </c>
      <c r="AB25" s="90">
        <f t="shared" si="25"/>
        <v>1.6830925412175478E-2</v>
      </c>
      <c r="AC25" s="91">
        <f t="shared" si="6"/>
        <v>3.8140000000000001</v>
      </c>
      <c r="AD25" s="92">
        <f t="shared" si="7"/>
        <v>3.7803381491756491</v>
      </c>
      <c r="AE25" s="43">
        <f t="shared" si="8"/>
        <v>129.83512030703849</v>
      </c>
      <c r="AF25" s="2"/>
      <c r="AG25" s="89">
        <f t="shared" si="9"/>
        <v>52.478539120344692</v>
      </c>
      <c r="AH25" s="90">
        <f t="shared" si="26"/>
        <v>1.6830925412175478E-2</v>
      </c>
      <c r="AI25" s="91">
        <f t="shared" si="10"/>
        <v>3.8140000000000001</v>
      </c>
      <c r="AJ25" s="92">
        <f t="shared" si="11"/>
        <v>3.7803381491756491</v>
      </c>
      <c r="AK25" s="550">
        <f t="shared" si="12"/>
        <v>19.831385088352583</v>
      </c>
      <c r="AL25" s="42"/>
      <c r="AM25" s="525">
        <f t="shared" si="13"/>
        <v>285</v>
      </c>
      <c r="AN25" s="526"/>
      <c r="AO25" s="54">
        <f t="shared" si="43"/>
        <v>98.1</v>
      </c>
      <c r="AP25" s="75">
        <f t="shared" si="43"/>
        <v>0</v>
      </c>
      <c r="AQ25" s="75">
        <f t="shared" si="43"/>
        <v>0</v>
      </c>
      <c r="AR25" s="53">
        <f t="shared" si="43"/>
        <v>0</v>
      </c>
      <c r="AS25" s="55">
        <f t="shared" si="43"/>
        <v>0</v>
      </c>
      <c r="AT25" s="2"/>
      <c r="AU25" s="51">
        <f t="shared" si="14"/>
        <v>297.95299999999997</v>
      </c>
      <c r="AV25" s="50">
        <f t="shared" si="15"/>
        <v>-0.39561315332997449</v>
      </c>
      <c r="AW25" s="50">
        <f t="shared" si="16"/>
        <v>1.5628888961788954</v>
      </c>
      <c r="AX25" s="69">
        <f t="shared" si="28"/>
        <v>-14.204873937741402</v>
      </c>
      <c r="AY25" s="73">
        <f t="shared" si="29"/>
        <v>1.6121822070991145</v>
      </c>
      <c r="AZ25" s="527"/>
      <c r="BA25" s="58">
        <f t="shared" si="30"/>
        <v>-1.6120269670144707</v>
      </c>
      <c r="BB25" s="57">
        <f t="shared" si="31"/>
        <v>2.2372449689274265E-2</v>
      </c>
      <c r="BC25" s="53">
        <f t="shared" si="32"/>
        <v>-6.6659385022683342</v>
      </c>
      <c r="BD25" s="55">
        <f t="shared" si="33"/>
        <v>-480.30827090286255</v>
      </c>
      <c r="BE25" s="2"/>
      <c r="BF25" s="54">
        <f t="shared" si="34"/>
        <v>-6.6659385022683342</v>
      </c>
      <c r="BG25" s="53">
        <f t="shared" si="34"/>
        <v>-480.30827090286255</v>
      </c>
      <c r="BH25" s="57">
        <f t="shared" si="35"/>
        <v>-1.2127373631884182</v>
      </c>
      <c r="BI25" s="129">
        <f t="shared" si="36"/>
        <v>1.6830925412175478E-2</v>
      </c>
      <c r="BJ25" s="66" t="str">
        <f t="shared" si="17"/>
        <v>no</v>
      </c>
      <c r="BK25" s="2"/>
      <c r="BL25" s="70">
        <f t="shared" si="37"/>
        <v>480.35452515180248</v>
      </c>
      <c r="BM25" s="528">
        <f t="shared" si="38"/>
        <v>-89.204873937741425</v>
      </c>
      <c r="BN25" s="121"/>
      <c r="BO25" s="577">
        <f t="shared" si="39"/>
        <v>0.73499234132631408</v>
      </c>
      <c r="BP25" s="578">
        <f t="shared" si="40"/>
        <v>8.825865449488976E-3</v>
      </c>
      <c r="BR25" s="507" t="str">
        <f t="shared" si="41"/>
        <v>NO-OK</v>
      </c>
      <c r="BS25" s="512" t="str">
        <f t="shared" si="42"/>
        <v>NO-OK</v>
      </c>
    </row>
    <row r="26" spans="1:71" ht="16.5" thickBot="1" x14ac:dyDescent="0.3">
      <c r="A26" s="261" t="s">
        <v>94</v>
      </c>
      <c r="B26" s="262">
        <f>+SUM(B4:B8)+B19</f>
        <v>377.19449999999995</v>
      </c>
      <c r="C26" s="263"/>
      <c r="D26" s="264"/>
      <c r="E26" s="264"/>
      <c r="F26" s="264"/>
      <c r="G26" s="840" t="s">
        <v>1</v>
      </c>
      <c r="H26" s="841"/>
      <c r="I26" s="914">
        <f>+'Input Page'!C68</f>
        <v>3.8140000000000001</v>
      </c>
      <c r="J26" s="915"/>
      <c r="K26" s="260"/>
      <c r="L26" s="413">
        <f>+IF('Input Page'!$G$68="YES",Extracting!L25+15,0)</f>
        <v>300</v>
      </c>
      <c r="M26" s="9">
        <f t="shared" si="0"/>
        <v>74.172784478238071</v>
      </c>
      <c r="N26" s="9">
        <f t="shared" si="1"/>
        <v>192.40477430394654</v>
      </c>
      <c r="O26" s="9">
        <f t="shared" si="2"/>
        <v>60.866800143226207</v>
      </c>
      <c r="P26" s="9">
        <f t="shared" si="3"/>
        <v>32.984875334881686</v>
      </c>
      <c r="Q26" s="10">
        <f t="shared" si="4"/>
        <v>10.434688130897873</v>
      </c>
      <c r="R26" s="11">
        <f t="shared" si="18"/>
        <v>0.33013695183654118</v>
      </c>
      <c r="S26" s="12">
        <f t="shared" si="19"/>
        <v>3.8140000000000001</v>
      </c>
      <c r="T26" s="13">
        <f t="shared" si="20"/>
        <v>3.1537260963269178</v>
      </c>
      <c r="U26" s="14">
        <f t="shared" si="21"/>
        <v>153.14864947634038</v>
      </c>
      <c r="W26" s="549" t="str">
        <f t="shared" si="22"/>
        <v>Max @ Front</v>
      </c>
      <c r="X26" s="76">
        <f t="shared" si="23"/>
        <v>35.650744137062041</v>
      </c>
      <c r="Y26" s="76">
        <f t="shared" si="24"/>
        <v>112.69482481941411</v>
      </c>
      <c r="Z26" s="2"/>
      <c r="AA26" s="89">
        <f t="shared" si="5"/>
        <v>338.09222472953087</v>
      </c>
      <c r="AB26" s="90">
        <f t="shared" si="25"/>
        <v>0.33013695183654118</v>
      </c>
      <c r="AC26" s="91">
        <f t="shared" si="6"/>
        <v>3.8140000000000001</v>
      </c>
      <c r="AD26" s="92">
        <f t="shared" si="7"/>
        <v>3.1537260963269178</v>
      </c>
      <c r="AE26" s="43">
        <f t="shared" si="8"/>
        <v>153.14864947634038</v>
      </c>
      <c r="AF26" s="2"/>
      <c r="AG26" s="89">
        <f t="shared" si="9"/>
        <v>57.960775270469128</v>
      </c>
      <c r="AH26" s="90">
        <f t="shared" si="26"/>
        <v>0.33013695183654118</v>
      </c>
      <c r="AI26" s="91">
        <f t="shared" si="10"/>
        <v>3.8140000000000001</v>
      </c>
      <c r="AJ26" s="92">
        <f t="shared" si="11"/>
        <v>3.1537260963269178</v>
      </c>
      <c r="AK26" s="550">
        <f t="shared" si="12"/>
        <v>26.25500915430748</v>
      </c>
      <c r="AL26" s="42"/>
      <c r="AM26" s="525">
        <f t="shared" si="13"/>
        <v>300</v>
      </c>
      <c r="AN26" s="526"/>
      <c r="AO26" s="54">
        <f t="shared" si="43"/>
        <v>98.1</v>
      </c>
      <c r="AP26" s="75">
        <f t="shared" si="43"/>
        <v>0</v>
      </c>
      <c r="AQ26" s="75">
        <f t="shared" si="43"/>
        <v>0</v>
      </c>
      <c r="AR26" s="53">
        <f t="shared" si="43"/>
        <v>0</v>
      </c>
      <c r="AS26" s="55">
        <f t="shared" si="43"/>
        <v>0</v>
      </c>
      <c r="AT26" s="2"/>
      <c r="AU26" s="51">
        <f t="shared" si="14"/>
        <v>297.95299999999997</v>
      </c>
      <c r="AV26" s="50">
        <f t="shared" si="15"/>
        <v>-0.39561315332997449</v>
      </c>
      <c r="AW26" s="50">
        <f t="shared" si="16"/>
        <v>1.5628888961788954</v>
      </c>
      <c r="AX26" s="69">
        <f t="shared" si="28"/>
        <v>-14.204873937741402</v>
      </c>
      <c r="AY26" s="73">
        <f t="shared" si="29"/>
        <v>1.6121822070991145</v>
      </c>
      <c r="AZ26" s="527"/>
      <c r="BA26" s="58">
        <f t="shared" si="30"/>
        <v>-1.5513080640485306</v>
      </c>
      <c r="BB26" s="57">
        <f t="shared" si="31"/>
        <v>0.43883340723442171</v>
      </c>
      <c r="BC26" s="53">
        <f t="shared" si="32"/>
        <v>-130.75173018571763</v>
      </c>
      <c r="BD26" s="55">
        <f t="shared" si="33"/>
        <v>-462.21689160745183</v>
      </c>
      <c r="BE26" s="2"/>
      <c r="BF26" s="54">
        <f t="shared" si="34"/>
        <v>-130.75173018571763</v>
      </c>
      <c r="BG26" s="53">
        <f t="shared" si="34"/>
        <v>-462.21689160745183</v>
      </c>
      <c r="BH26" s="57">
        <f t="shared" si="35"/>
        <v>-1.1670581755660274</v>
      </c>
      <c r="BI26" s="129">
        <f t="shared" si="36"/>
        <v>0.33013695183654118</v>
      </c>
      <c r="BJ26" s="66" t="str">
        <f t="shared" si="17"/>
        <v>no</v>
      </c>
      <c r="BK26" s="2"/>
      <c r="BL26" s="70">
        <f t="shared" si="37"/>
        <v>480.35452515180242</v>
      </c>
      <c r="BM26" s="528">
        <f t="shared" si="38"/>
        <v>-74.204873937741397</v>
      </c>
      <c r="BN26" s="121"/>
      <c r="BO26" s="577">
        <f t="shared" si="39"/>
        <v>0.70730798519153182</v>
      </c>
      <c r="BP26" s="578">
        <f t="shared" si="40"/>
        <v>0.17311848549372899</v>
      </c>
      <c r="BR26" s="507" t="str">
        <f t="shared" si="41"/>
        <v>NO-OK</v>
      </c>
      <c r="BS26" s="512" t="str">
        <f t="shared" si="42"/>
        <v>NO-OK</v>
      </c>
    </row>
    <row r="27" spans="1:71" ht="15.75" x14ac:dyDescent="0.25">
      <c r="A27" s="821" t="s">
        <v>110</v>
      </c>
      <c r="B27" s="823">
        <f>+B16+B24</f>
        <v>396.053</v>
      </c>
      <c r="C27" s="825">
        <f>+F27/B27</f>
        <v>-0.29762210076460949</v>
      </c>
      <c r="D27" s="827">
        <f>+E27/B27*-1</f>
        <v>1.1757705036527695</v>
      </c>
      <c r="E27" s="829">
        <f>+E16+E24</f>
        <v>-465.66743528319034</v>
      </c>
      <c r="F27" s="819">
        <f>+F16+F24</f>
        <v>-117.87412587412588</v>
      </c>
      <c r="G27" s="856" t="s">
        <v>2</v>
      </c>
      <c r="H27" s="857"/>
      <c r="I27" s="852">
        <f>+'Input Page'!C69</f>
        <v>0.7</v>
      </c>
      <c r="J27" s="853"/>
      <c r="K27" s="260"/>
      <c r="L27" s="413">
        <f>+IF('Input Page'!$G$68="YES",Extracting!L26+15,0)</f>
        <v>315</v>
      </c>
      <c r="M27" s="9">
        <f t="shared" si="0"/>
        <v>74.172784478238071</v>
      </c>
      <c r="N27" s="9">
        <f t="shared" si="1"/>
        <v>239.21167686553324</v>
      </c>
      <c r="O27" s="9">
        <f t="shared" si="2"/>
        <v>2.8025121438632135</v>
      </c>
      <c r="P27" s="9">
        <f t="shared" si="3"/>
        <v>54.04379258359458</v>
      </c>
      <c r="Q27" s="10">
        <f t="shared" si="4"/>
        <v>0.63315631996128263</v>
      </c>
      <c r="R27" s="11">
        <f t="shared" si="18"/>
        <v>0.62094469057035429</v>
      </c>
      <c r="S27" s="12">
        <f t="shared" si="19"/>
        <v>3.8140000000000001</v>
      </c>
      <c r="T27" s="13">
        <f t="shared" si="20"/>
        <v>2.5721106188592913</v>
      </c>
      <c r="U27" s="14">
        <f t="shared" si="21"/>
        <v>179.4328187352998</v>
      </c>
      <c r="W27" s="549" t="str">
        <f t="shared" si="22"/>
        <v>Max @ Front</v>
      </c>
      <c r="X27" s="76">
        <f t="shared" si="23"/>
        <v>1.7178342319122484</v>
      </c>
      <c r="Y27" s="76">
        <f t="shared" si="24"/>
        <v>146.62773472456391</v>
      </c>
      <c r="Z27" s="2"/>
      <c r="AA27" s="89">
        <f t="shared" si="5"/>
        <v>323.06474090864327</v>
      </c>
      <c r="AB27" s="90">
        <f t="shared" si="25"/>
        <v>0.62094469057035429</v>
      </c>
      <c r="AC27" s="91">
        <f t="shared" si="6"/>
        <v>3.8140000000000001</v>
      </c>
      <c r="AD27" s="92">
        <f t="shared" si="7"/>
        <v>2.5721106188592913</v>
      </c>
      <c r="AE27" s="43">
        <f t="shared" si="8"/>
        <v>179.4328187352998</v>
      </c>
      <c r="AF27" s="2"/>
      <c r="AG27" s="89">
        <f t="shared" si="9"/>
        <v>72.988259091356724</v>
      </c>
      <c r="AH27" s="90">
        <f t="shared" si="26"/>
        <v>0.62094469057035429</v>
      </c>
      <c r="AI27" s="91">
        <f t="shared" si="10"/>
        <v>3.8140000000000001</v>
      </c>
      <c r="AJ27" s="92">
        <f t="shared" si="11"/>
        <v>2.5721106188592913</v>
      </c>
      <c r="AK27" s="550">
        <f t="shared" si="12"/>
        <v>40.538280427971415</v>
      </c>
      <c r="AL27" s="42"/>
      <c r="AM27" s="525">
        <f t="shared" si="13"/>
        <v>315</v>
      </c>
      <c r="AN27" s="526"/>
      <c r="AO27" s="54">
        <f t="shared" si="43"/>
        <v>98.1</v>
      </c>
      <c r="AP27" s="75">
        <f t="shared" si="43"/>
        <v>0</v>
      </c>
      <c r="AQ27" s="75">
        <f t="shared" si="43"/>
        <v>0</v>
      </c>
      <c r="AR27" s="53">
        <f t="shared" si="43"/>
        <v>0</v>
      </c>
      <c r="AS27" s="55">
        <f t="shared" si="43"/>
        <v>0</v>
      </c>
      <c r="AT27" s="2"/>
      <c r="AU27" s="51">
        <f t="shared" si="14"/>
        <v>297.95299999999997</v>
      </c>
      <c r="AV27" s="50">
        <f t="shared" si="15"/>
        <v>-0.39561315332997449</v>
      </c>
      <c r="AW27" s="50">
        <f t="shared" si="16"/>
        <v>1.5628888961788954</v>
      </c>
      <c r="AX27" s="69">
        <f t="shared" si="28"/>
        <v>-14.204873937741402</v>
      </c>
      <c r="AY27" s="73">
        <f t="shared" si="29"/>
        <v>1.6121822070991145</v>
      </c>
      <c r="AZ27" s="527"/>
      <c r="BA27" s="58">
        <f t="shared" si="30"/>
        <v>-1.3848700801754734</v>
      </c>
      <c r="BB27" s="57">
        <f t="shared" si="31"/>
        <v>0.82538859328303638</v>
      </c>
      <c r="BC27" s="53">
        <f t="shared" si="32"/>
        <v>-245.92700753446053</v>
      </c>
      <c r="BD27" s="55">
        <f t="shared" si="33"/>
        <v>-412.62619499852281</v>
      </c>
      <c r="BE27" s="2"/>
      <c r="BF27" s="54">
        <f t="shared" si="34"/>
        <v>-245.92700753446053</v>
      </c>
      <c r="BG27" s="53">
        <f t="shared" si="34"/>
        <v>-412.62619499852281</v>
      </c>
      <c r="BH27" s="57">
        <f t="shared" si="35"/>
        <v>-1.0418459019336372</v>
      </c>
      <c r="BI27" s="129">
        <f t="shared" si="36"/>
        <v>0.62094469057035429</v>
      </c>
      <c r="BJ27" s="66" t="str">
        <f t="shared" si="17"/>
        <v>no</v>
      </c>
      <c r="BK27" s="2"/>
      <c r="BL27" s="70">
        <f t="shared" si="37"/>
        <v>480.35452515180236</v>
      </c>
      <c r="BM27" s="528">
        <f t="shared" si="38"/>
        <v>-59.204873937741411</v>
      </c>
      <c r="BN27" s="121"/>
      <c r="BO27" s="577">
        <f t="shared" si="39"/>
        <v>0.63142175874765893</v>
      </c>
      <c r="BP27" s="578">
        <f t="shared" si="40"/>
        <v>0.32561336684339498</v>
      </c>
      <c r="BR27" s="507" t="str">
        <f t="shared" si="41"/>
        <v>NO-OK</v>
      </c>
      <c r="BS27" s="512" t="str">
        <f t="shared" si="42"/>
        <v>NO-OK</v>
      </c>
    </row>
    <row r="28" spans="1:71" ht="16.5" thickBot="1" x14ac:dyDescent="0.3">
      <c r="A28" s="822"/>
      <c r="B28" s="824"/>
      <c r="C28" s="826"/>
      <c r="D28" s="828"/>
      <c r="E28" s="830"/>
      <c r="F28" s="820"/>
      <c r="G28" s="919" t="s">
        <v>95</v>
      </c>
      <c r="H28" s="920"/>
      <c r="I28" s="854">
        <f>+'Input Page'!C70</f>
        <v>3.3</v>
      </c>
      <c r="J28" s="855"/>
      <c r="K28" s="154"/>
      <c r="L28" s="413">
        <f>+IF('Input Page'!$G$68="YES",Extracting!L27+15,0)</f>
        <v>330</v>
      </c>
      <c r="M28" s="9">
        <f t="shared" si="0"/>
        <v>90.884360031393058</v>
      </c>
      <c r="N28" s="9">
        <f t="shared" si="1"/>
        <v>274.92613118750353</v>
      </c>
      <c r="O28" s="9">
        <f t="shared" si="2"/>
        <v>0</v>
      </c>
      <c r="P28" s="9">
        <f t="shared" si="3"/>
        <v>88.611308938068746</v>
      </c>
      <c r="Q28" s="10">
        <f t="shared" si="4"/>
        <v>0</v>
      </c>
      <c r="R28" s="11">
        <f t="shared" si="18"/>
        <v>0.8694360748014176</v>
      </c>
      <c r="S28" s="12">
        <f t="shared" si="19"/>
        <v>3.1126917755957471</v>
      </c>
      <c r="T28" s="13">
        <f t="shared" si="20"/>
        <v>2.0751278503971649</v>
      </c>
      <c r="U28" s="14">
        <f t="shared" si="21"/>
        <v>206.19459839062765</v>
      </c>
      <c r="W28" s="549" t="str">
        <f t="shared" si="22"/>
        <v>Max @ Front</v>
      </c>
      <c r="X28" s="76">
        <f t="shared" si="23"/>
        <v>0</v>
      </c>
      <c r="Y28" s="76">
        <f t="shared" si="24"/>
        <v>181.76872006278614</v>
      </c>
      <c r="Z28" s="2"/>
      <c r="AA28" s="89">
        <f t="shared" si="5"/>
        <v>299.51610760529485</v>
      </c>
      <c r="AB28" s="90">
        <f t="shared" si="25"/>
        <v>0.8694360748014176</v>
      </c>
      <c r="AC28" s="91">
        <f t="shared" si="6"/>
        <v>3.1126917755957471</v>
      </c>
      <c r="AD28" s="92">
        <f t="shared" si="7"/>
        <v>2.0751278503971649</v>
      </c>
      <c r="AE28" s="43">
        <f t="shared" si="8"/>
        <v>206.19459839062765</v>
      </c>
      <c r="AF28" s="2"/>
      <c r="AG28" s="89">
        <f t="shared" si="9"/>
        <v>96.536892394705148</v>
      </c>
      <c r="AH28" s="90">
        <f t="shared" si="26"/>
        <v>0.8694360748014176</v>
      </c>
      <c r="AI28" s="91">
        <f t="shared" si="10"/>
        <v>3.1126917755957471</v>
      </c>
      <c r="AJ28" s="92">
        <f t="shared" si="11"/>
        <v>2.0751278503971649</v>
      </c>
      <c r="AK28" s="550">
        <f t="shared" si="12"/>
        <v>66.458481703551556</v>
      </c>
      <c r="AL28" s="42"/>
      <c r="AM28" s="525">
        <f t="shared" si="13"/>
        <v>330</v>
      </c>
      <c r="AN28" s="526"/>
      <c r="AO28" s="54">
        <f t="shared" si="43"/>
        <v>98.1</v>
      </c>
      <c r="AP28" s="75">
        <f t="shared" si="43"/>
        <v>0</v>
      </c>
      <c r="AQ28" s="75">
        <f t="shared" si="43"/>
        <v>0</v>
      </c>
      <c r="AR28" s="53">
        <f t="shared" si="43"/>
        <v>0</v>
      </c>
      <c r="AS28" s="55">
        <f t="shared" si="43"/>
        <v>0</v>
      </c>
      <c r="AT28" s="2"/>
      <c r="AU28" s="51">
        <f t="shared" si="14"/>
        <v>297.95299999999997</v>
      </c>
      <c r="AV28" s="50">
        <f t="shared" si="15"/>
        <v>-0.39561315332997449</v>
      </c>
      <c r="AW28" s="50">
        <f t="shared" si="16"/>
        <v>1.5628888961788954</v>
      </c>
      <c r="AX28" s="69">
        <f t="shared" si="28"/>
        <v>-14.204873937741402</v>
      </c>
      <c r="AY28" s="73">
        <f t="shared" si="29"/>
        <v>1.6121822070991145</v>
      </c>
      <c r="AZ28" s="527"/>
      <c r="BA28" s="58">
        <f t="shared" si="30"/>
        <v>-1.1240554889444745</v>
      </c>
      <c r="BB28" s="57">
        <f t="shared" si="31"/>
        <v>1.1556949107185559</v>
      </c>
      <c r="BC28" s="53">
        <f t="shared" si="32"/>
        <v>-344.34276573332585</v>
      </c>
      <c r="BD28" s="55">
        <f t="shared" si="33"/>
        <v>-334.91570509747299</v>
      </c>
      <c r="BE28" s="2"/>
      <c r="BF28" s="54">
        <f t="shared" si="34"/>
        <v>-344.34276573332585</v>
      </c>
      <c r="BG28" s="53">
        <f t="shared" si="34"/>
        <v>-334.91570509747299</v>
      </c>
      <c r="BH28" s="57">
        <f t="shared" si="35"/>
        <v>-0.84563355181622912</v>
      </c>
      <c r="BI28" s="129">
        <f t="shared" si="36"/>
        <v>0.8694360748014176</v>
      </c>
      <c r="BJ28" s="66" t="str">
        <f t="shared" si="17"/>
        <v>yes</v>
      </c>
      <c r="BK28" s="2"/>
      <c r="BL28" s="70">
        <f t="shared" si="37"/>
        <v>480.35452515180242</v>
      </c>
      <c r="BM28" s="528">
        <f t="shared" si="38"/>
        <v>-44.204873937741425</v>
      </c>
      <c r="BN28" s="121"/>
      <c r="BO28" s="577">
        <f t="shared" si="39"/>
        <v>0.51250518291892677</v>
      </c>
      <c r="BP28" s="578">
        <f t="shared" si="40"/>
        <v>0.45591823534421477</v>
      </c>
      <c r="BR28" s="507" t="str">
        <f t="shared" si="41"/>
        <v>NO-OK</v>
      </c>
      <c r="BS28" s="512" t="str">
        <f t="shared" si="42"/>
        <v>NO-OK</v>
      </c>
    </row>
    <row r="29" spans="1:71" ht="15.75" customHeight="1" thickBot="1" x14ac:dyDescent="0.3">
      <c r="A29" s="265"/>
      <c r="B29" s="266"/>
      <c r="C29" s="267"/>
      <c r="D29" s="268"/>
      <c r="E29" s="269"/>
      <c r="F29" s="266"/>
      <c r="G29" s="182"/>
      <c r="H29" s="270"/>
      <c r="I29" s="271"/>
      <c r="J29" s="271"/>
      <c r="K29" s="272"/>
      <c r="L29" s="413">
        <f>+IF('Input Page'!$G$68="YES",Extracting!L28+15,0)</f>
        <v>345</v>
      </c>
      <c r="M29" s="134">
        <f t="shared" si="0"/>
        <v>111.1585022937637</v>
      </c>
      <c r="N29" s="134">
        <f t="shared" si="1"/>
        <v>302.05371629255478</v>
      </c>
      <c r="O29" s="134">
        <f t="shared" si="2"/>
        <v>0</v>
      </c>
      <c r="P29" s="134">
        <f t="shared" si="3"/>
        <v>142.58029288250009</v>
      </c>
      <c r="Q29" s="135">
        <f t="shared" si="4"/>
        <v>0</v>
      </c>
      <c r="R29" s="136">
        <f t="shared" si="18"/>
        <v>1.0586768273458131</v>
      </c>
      <c r="S29" s="137">
        <f t="shared" si="19"/>
        <v>2.5449695179625604</v>
      </c>
      <c r="T29" s="132">
        <f t="shared" si="20"/>
        <v>1.6966463453083738</v>
      </c>
      <c r="U29" s="133">
        <f t="shared" si="21"/>
        <v>226.54028721941609</v>
      </c>
      <c r="W29" s="549" t="str">
        <f t="shared" si="22"/>
        <v>Max @ Front</v>
      </c>
      <c r="X29" s="76">
        <f t="shared" si="23"/>
        <v>0</v>
      </c>
      <c r="Y29" s="76">
        <f t="shared" si="24"/>
        <v>222.31700458752744</v>
      </c>
      <c r="Z29" s="2"/>
      <c r="AA29" s="89">
        <f t="shared" si="5"/>
        <v>269.05112526315207</v>
      </c>
      <c r="AB29" s="90">
        <f t="shared" si="25"/>
        <v>1.0586768273458131</v>
      </c>
      <c r="AC29" s="91">
        <f t="shared" si="6"/>
        <v>2.5449695179625604</v>
      </c>
      <c r="AD29" s="92">
        <f t="shared" si="7"/>
        <v>1.6966463453083738</v>
      </c>
      <c r="AE29" s="43">
        <f t="shared" si="8"/>
        <v>226.54028721941609</v>
      </c>
      <c r="AF29" s="2"/>
      <c r="AG29" s="89">
        <f t="shared" si="9"/>
        <v>127.00187473684792</v>
      </c>
      <c r="AH29" s="90">
        <f t="shared" si="26"/>
        <v>1.0586768273458131</v>
      </c>
      <c r="AI29" s="91">
        <f t="shared" si="10"/>
        <v>2.5449695179625604</v>
      </c>
      <c r="AJ29" s="92">
        <f t="shared" si="11"/>
        <v>1.6966463453083738</v>
      </c>
      <c r="AK29" s="550">
        <f t="shared" si="12"/>
        <v>106.93521966187507</v>
      </c>
      <c r="AL29" s="42"/>
      <c r="AM29" s="525">
        <f t="shared" si="13"/>
        <v>345</v>
      </c>
      <c r="AN29" s="526"/>
      <c r="AO29" s="54">
        <f t="shared" si="43"/>
        <v>98.1</v>
      </c>
      <c r="AP29" s="75">
        <f t="shared" si="43"/>
        <v>0</v>
      </c>
      <c r="AQ29" s="75">
        <f t="shared" si="43"/>
        <v>0</v>
      </c>
      <c r="AR29" s="53">
        <f t="shared" si="43"/>
        <v>0</v>
      </c>
      <c r="AS29" s="55">
        <f t="shared" si="43"/>
        <v>0</v>
      </c>
      <c r="AT29" s="2"/>
      <c r="AU29" s="51">
        <f t="shared" si="14"/>
        <v>297.95299999999997</v>
      </c>
      <c r="AV29" s="50">
        <f t="shared" si="15"/>
        <v>-0.39561315332997449</v>
      </c>
      <c r="AW29" s="50">
        <f t="shared" si="16"/>
        <v>1.5628888961788954</v>
      </c>
      <c r="AX29" s="69">
        <f t="shared" si="28"/>
        <v>-14.204873937741402</v>
      </c>
      <c r="AY29" s="73">
        <f t="shared" si="29"/>
        <v>1.6121822070991145</v>
      </c>
      <c r="AZ29" s="527"/>
      <c r="BA29" s="58">
        <f t="shared" si="30"/>
        <v>-0.78663837373143375</v>
      </c>
      <c r="BB29" s="57">
        <f t="shared" si="31"/>
        <v>1.4072425298647484</v>
      </c>
      <c r="BC29" s="53">
        <f t="shared" si="32"/>
        <v>-419.29213350079135</v>
      </c>
      <c r="BD29" s="55">
        <f t="shared" si="33"/>
        <v>-234.38126336840185</v>
      </c>
      <c r="BE29" s="2"/>
      <c r="BF29" s="54">
        <f t="shared" si="34"/>
        <v>-419.29213350079135</v>
      </c>
      <c r="BG29" s="53">
        <f t="shared" si="34"/>
        <v>-234.38126336840185</v>
      </c>
      <c r="BH29" s="57">
        <f t="shared" si="35"/>
        <v>-0.59179267261806334</v>
      </c>
      <c r="BI29" s="129">
        <f t="shared" si="36"/>
        <v>1.0586768273458131</v>
      </c>
      <c r="BJ29" s="66" t="str">
        <f t="shared" si="17"/>
        <v>yes</v>
      </c>
      <c r="BK29" s="2"/>
      <c r="BL29" s="70">
        <f t="shared" si="37"/>
        <v>480.35452515180242</v>
      </c>
      <c r="BM29" s="528">
        <f t="shared" si="38"/>
        <v>-29.204873937741393</v>
      </c>
      <c r="BN29" s="121"/>
      <c r="BO29" s="577">
        <f t="shared" si="39"/>
        <v>0.35866222582912932</v>
      </c>
      <c r="BP29" s="578">
        <f t="shared" si="40"/>
        <v>0.55515302954683432</v>
      </c>
      <c r="BR29" s="507" t="str">
        <f t="shared" si="41"/>
        <v>NO-OK</v>
      </c>
      <c r="BS29" s="512" t="str">
        <f t="shared" si="42"/>
        <v>NO-OK</v>
      </c>
    </row>
    <row r="30" spans="1:71" ht="15.75" customHeight="1" thickBot="1" x14ac:dyDescent="0.25">
      <c r="A30" s="265"/>
      <c r="B30" s="266"/>
      <c r="C30" s="267"/>
      <c r="D30" s="268"/>
      <c r="E30" s="269"/>
      <c r="F30" s="266"/>
      <c r="G30" s="182"/>
      <c r="H30" s="270"/>
      <c r="I30" s="271"/>
      <c r="J30" s="271"/>
      <c r="K30" s="272"/>
      <c r="L30" s="109"/>
      <c r="M30" s="105"/>
      <c r="N30" s="105"/>
      <c r="O30" s="105"/>
      <c r="P30" s="105"/>
      <c r="Q30" s="105"/>
      <c r="R30" s="917" t="s">
        <v>168</v>
      </c>
      <c r="S30" s="918"/>
      <c r="T30" s="150">
        <f>+INDEX(T6:T29,MATCH(U30,U6:U29,0))</f>
        <v>1.4798836488679452</v>
      </c>
      <c r="U30" s="151">
        <f>MAX(U6:U29)</f>
        <v>229.40822466656786</v>
      </c>
      <c r="W30" s="551"/>
      <c r="X30" s="552">
        <f t="shared" si="23"/>
        <v>0</v>
      </c>
      <c r="Y30" s="552">
        <f t="shared" si="24"/>
        <v>257.91720329770453</v>
      </c>
      <c r="Z30" s="544"/>
      <c r="AA30" s="553">
        <f t="shared" si="5"/>
        <v>233.74593208306845</v>
      </c>
      <c r="AB30" s="554">
        <f t="shared" si="25"/>
        <v>1.1757705036527697</v>
      </c>
      <c r="AC30" s="555" t="e">
        <f t="shared" si="6"/>
        <v>#DIV/0!</v>
      </c>
      <c r="AD30" s="556">
        <f t="shared" si="7"/>
        <v>1.4624589926944607</v>
      </c>
      <c r="AE30" s="557">
        <f t="shared" si="8"/>
        <v>0</v>
      </c>
      <c r="AF30" s="544"/>
      <c r="AG30" s="553">
        <f t="shared" si="9"/>
        <v>162.30706791693154</v>
      </c>
      <c r="AH30" s="554">
        <f t="shared" si="26"/>
        <v>1.1757705036527697</v>
      </c>
      <c r="AI30" s="555" t="e">
        <f t="shared" si="10"/>
        <v>#DIV/0!</v>
      </c>
      <c r="AJ30" s="556">
        <f t="shared" si="11"/>
        <v>1.4624589926944607</v>
      </c>
      <c r="AK30" s="558">
        <f t="shared" si="12"/>
        <v>0</v>
      </c>
      <c r="AL30" s="42"/>
      <c r="AM30" s="529">
        <f>+AM29+15</f>
        <v>360</v>
      </c>
      <c r="AN30" s="530"/>
      <c r="AO30" s="531">
        <f t="shared" si="43"/>
        <v>98.1</v>
      </c>
      <c r="AP30" s="532">
        <f t="shared" si="43"/>
        <v>0</v>
      </c>
      <c r="AQ30" s="532">
        <f t="shared" si="43"/>
        <v>0</v>
      </c>
      <c r="AR30" s="533">
        <f t="shared" si="43"/>
        <v>0</v>
      </c>
      <c r="AS30" s="534">
        <f t="shared" si="43"/>
        <v>0</v>
      </c>
      <c r="AT30" s="535"/>
      <c r="AU30" s="536">
        <f t="shared" si="14"/>
        <v>297.95299999999997</v>
      </c>
      <c r="AV30" s="537">
        <f t="shared" si="15"/>
        <v>-0.39561315332997449</v>
      </c>
      <c r="AW30" s="537">
        <f t="shared" si="16"/>
        <v>1.5628888961788954</v>
      </c>
      <c r="AX30" s="538">
        <f t="shared" si="28"/>
        <v>-14.204873937741402</v>
      </c>
      <c r="AY30" s="539">
        <f t="shared" si="29"/>
        <v>1.6121822070991145</v>
      </c>
      <c r="AZ30" s="540"/>
      <c r="BA30" s="541">
        <f t="shared" si="30"/>
        <v>-0.39561315332997476</v>
      </c>
      <c r="BB30" s="542">
        <f t="shared" si="31"/>
        <v>1.5628888961788954</v>
      </c>
      <c r="BC30" s="533">
        <f t="shared" si="32"/>
        <v>-465.6674352831904</v>
      </c>
      <c r="BD30" s="534">
        <f t="shared" si="33"/>
        <v>-117.87412587412597</v>
      </c>
      <c r="BE30" s="535"/>
      <c r="BF30" s="531">
        <f t="shared" si="34"/>
        <v>-465.6674352831904</v>
      </c>
      <c r="BG30" s="533">
        <f t="shared" si="34"/>
        <v>-117.87412587412597</v>
      </c>
      <c r="BH30" s="542">
        <f t="shared" si="35"/>
        <v>-0.29762210076460971</v>
      </c>
      <c r="BI30" s="543">
        <f t="shared" si="36"/>
        <v>1.1757705036527697</v>
      </c>
      <c r="BJ30" s="542" t="str">
        <f t="shared" si="17"/>
        <v>yes</v>
      </c>
      <c r="BK30" s="544"/>
      <c r="BL30" s="545">
        <f t="shared" si="37"/>
        <v>480.35452515180242</v>
      </c>
      <c r="BM30" s="546">
        <f t="shared" si="38"/>
        <v>-14.204873937741413</v>
      </c>
      <c r="BN30" s="120"/>
      <c r="BO30" s="577">
        <f t="shared" si="39"/>
        <v>0.18037703076643014</v>
      </c>
      <c r="BP30" s="578">
        <f t="shared" si="40"/>
        <v>0.61655506221959611</v>
      </c>
      <c r="BR30" s="513" t="str">
        <f t="shared" si="41"/>
        <v>NO-OK</v>
      </c>
      <c r="BS30" s="514" t="str">
        <f t="shared" si="42"/>
        <v>NO-OK</v>
      </c>
    </row>
    <row r="31" spans="1:71" ht="15.75" customHeight="1" thickBot="1" x14ac:dyDescent="0.3">
      <c r="A31" s="273"/>
      <c r="B31" s="274"/>
      <c r="C31" s="274"/>
      <c r="D31" s="275"/>
      <c r="E31" s="155"/>
      <c r="F31" s="155"/>
      <c r="G31" s="155"/>
      <c r="H31" s="155"/>
      <c r="I31" s="154"/>
      <c r="J31" s="154"/>
      <c r="K31" s="154"/>
      <c r="L31" s="110"/>
      <c r="M31" s="96"/>
      <c r="N31" s="96"/>
      <c r="O31" s="96"/>
      <c r="P31" s="96"/>
      <c r="Q31" s="96"/>
      <c r="R31" s="144"/>
      <c r="S31" s="148" t="s">
        <v>167</v>
      </c>
      <c r="T31" s="149"/>
      <c r="U31" s="152"/>
      <c r="AB31" s="2"/>
      <c r="AC31" s="2"/>
      <c r="AD31" s="2"/>
      <c r="AE31" s="2"/>
      <c r="AF31" s="2"/>
      <c r="AG31" s="2"/>
      <c r="AH31" s="2"/>
      <c r="AI31" s="2"/>
      <c r="AJ31" s="2"/>
      <c r="AK31" s="2"/>
      <c r="AL31" s="113"/>
      <c r="AM31" s="2"/>
      <c r="BF31" s="124" t="s">
        <v>178</v>
      </c>
      <c r="BG31" s="515" t="s">
        <v>178</v>
      </c>
      <c r="BH31" s="515" t="s">
        <v>178</v>
      </c>
      <c r="BI31" s="125" t="s">
        <v>178</v>
      </c>
      <c r="BO31" s="575" t="s">
        <v>178</v>
      </c>
      <c r="BP31" s="576" t="s">
        <v>178</v>
      </c>
    </row>
    <row r="32" spans="1:71" ht="15.75" customHeight="1" thickBot="1" x14ac:dyDescent="0.3">
      <c r="A32" s="844" t="s">
        <v>216</v>
      </c>
      <c r="B32" s="845"/>
      <c r="C32" s="845" t="s">
        <v>36</v>
      </c>
      <c r="D32" s="947"/>
      <c r="E32" s="948" t="s">
        <v>36</v>
      </c>
      <c r="F32" s="949"/>
      <c r="G32" s="949"/>
      <c r="H32" s="949"/>
      <c r="I32" s="949"/>
      <c r="J32" s="950"/>
      <c r="K32" s="154"/>
      <c r="L32" s="106" t="s">
        <v>161</v>
      </c>
      <c r="M32" s="99"/>
      <c r="N32" s="99"/>
      <c r="O32" s="99"/>
      <c r="P32" s="99"/>
      <c r="Q32" s="99"/>
      <c r="R32" s="131"/>
      <c r="S32" s="145">
        <f>+INDEX(J12:J15,MATCH(U32,I12:I15,0))</f>
        <v>1.5</v>
      </c>
      <c r="T32" s="146">
        <f>+S32/$I$27</f>
        <v>2.1428571428571428</v>
      </c>
      <c r="U32" s="147">
        <f>+I16</f>
        <v>202</v>
      </c>
      <c r="X32" s="946" t="s">
        <v>185</v>
      </c>
      <c r="Y32" s="946"/>
      <c r="Z32" s="419"/>
      <c r="AA32" s="962" t="s">
        <v>90</v>
      </c>
      <c r="AB32" s="962" t="s">
        <v>89</v>
      </c>
      <c r="AC32" s="962" t="s">
        <v>158</v>
      </c>
      <c r="AD32" s="963" t="s">
        <v>29</v>
      </c>
      <c r="AE32" s="424" t="s">
        <v>190</v>
      </c>
      <c r="AF32" s="2"/>
      <c r="AG32" s="2"/>
      <c r="AI32" s="2"/>
      <c r="AJ32" s="2"/>
      <c r="AK32" s="2"/>
      <c r="AL32" s="113"/>
      <c r="BF32" s="70">
        <f>+MAX(BF6:BF30)</f>
        <v>480.30827090286255</v>
      </c>
      <c r="BG32" s="504">
        <f t="shared" ref="BG32:BI32" si="51">+MAX(BG6:BG30)</f>
        <v>480.30827090286255</v>
      </c>
      <c r="BH32" s="505">
        <f t="shared" si="51"/>
        <v>1.2127373631884182</v>
      </c>
      <c r="BI32" s="506">
        <f t="shared" si="51"/>
        <v>1.2127373631884182</v>
      </c>
      <c r="BO32" s="577">
        <f>+MAX(BO6:BO30)</f>
        <v>0.73499234132631408</v>
      </c>
      <c r="BP32" s="578">
        <f>+MAX(BP6:BP30)</f>
        <v>0.6359398863075082</v>
      </c>
    </row>
    <row r="33" spans="1:68" ht="15.75" customHeight="1" thickBot="1" x14ac:dyDescent="0.3">
      <c r="A33" s="951" t="str">
        <f>IF(G11&gt;H11,"ERROR - AUXILIARY LINE FORCE EXCEEDS MAXIMUM","AuxiIiary Line Force OK")</f>
        <v>AuxiIiary Line Force OK</v>
      </c>
      <c r="B33" s="952"/>
      <c r="C33" s="952"/>
      <c r="D33" s="952"/>
      <c r="E33" s="940"/>
      <c r="F33" s="940"/>
      <c r="G33" s="940"/>
      <c r="H33" s="940"/>
      <c r="I33" s="940"/>
      <c r="J33" s="941"/>
      <c r="K33" s="154"/>
      <c r="L33" s="138" t="s">
        <v>162</v>
      </c>
      <c r="M33" s="139"/>
      <c r="N33" s="139"/>
      <c r="O33" s="139"/>
      <c r="P33" s="139"/>
      <c r="Q33" s="139"/>
      <c r="R33" s="140"/>
      <c r="S33" s="139">
        <f>+INDEX(J20:J23,MATCH(U33,I20:I23,0))</f>
        <v>0</v>
      </c>
      <c r="T33" s="141">
        <f>+S33/$I$27</f>
        <v>0</v>
      </c>
      <c r="U33" s="16">
        <f>+I24</f>
        <v>-9.9999999999999992E-25</v>
      </c>
      <c r="X33" s="946"/>
      <c r="Y33" s="946"/>
      <c r="Z33" s="419"/>
      <c r="AA33" s="962"/>
      <c r="AB33" s="962"/>
      <c r="AC33" s="962"/>
      <c r="AD33" s="963"/>
      <c r="AE33" s="425" t="s">
        <v>187</v>
      </c>
      <c r="AF33" s="2"/>
      <c r="AG33" s="2"/>
      <c r="AI33" s="2"/>
      <c r="AJ33" s="2"/>
      <c r="AK33" s="2"/>
      <c r="AL33" s="113"/>
      <c r="AO33" s="419" t="s">
        <v>209</v>
      </c>
      <c r="AP33" s="419"/>
      <c r="AQ33" s="419"/>
      <c r="AR33" s="419"/>
      <c r="AS33" s="419"/>
      <c r="BF33" s="507" t="s">
        <v>165</v>
      </c>
      <c r="BG33" s="569" t="s">
        <v>165</v>
      </c>
      <c r="BH33" s="505" t="s">
        <v>165</v>
      </c>
      <c r="BI33" s="506" t="s">
        <v>165</v>
      </c>
      <c r="BO33" s="507" t="s">
        <v>165</v>
      </c>
      <c r="BP33" s="512" t="s">
        <v>165</v>
      </c>
    </row>
    <row r="34" spans="1:68" ht="15.75" customHeight="1" thickBot="1" x14ac:dyDescent="0.3">
      <c r="A34" s="938" t="str">
        <f>IF(G9&gt;H9,"ERROR - EXTRACTION FORCE EXCEEDS MAXIMUM","Extraction Force OK")</f>
        <v>Extraction Force OK</v>
      </c>
      <c r="B34" s="939"/>
      <c r="C34" s="939"/>
      <c r="D34" s="939"/>
      <c r="E34" s="942"/>
      <c r="F34" s="942"/>
      <c r="G34" s="942"/>
      <c r="H34" s="942"/>
      <c r="I34" s="942"/>
      <c r="J34" s="943"/>
      <c r="K34" s="154"/>
      <c r="L34" s="17"/>
      <c r="M34" s="18"/>
      <c r="N34" s="18"/>
      <c r="O34" s="18"/>
      <c r="P34" s="957" t="s">
        <v>30</v>
      </c>
      <c r="Q34" s="958"/>
      <c r="R34" s="958"/>
      <c r="S34" s="958"/>
      <c r="T34" s="142">
        <f>+INDEX(T30:T33,MATCH(U34,U30:U33,0))</f>
        <v>1.4798836488679452</v>
      </c>
      <c r="U34" s="143">
        <f>+MAX(U30:U33)</f>
        <v>229.40822466656786</v>
      </c>
      <c r="X34" s="946"/>
      <c r="Y34" s="946"/>
      <c r="Z34" s="419"/>
      <c r="AA34" s="962"/>
      <c r="AB34" s="962"/>
      <c r="AC34" s="962"/>
      <c r="AD34" s="963"/>
      <c r="AE34" s="423" t="s">
        <v>188</v>
      </c>
      <c r="AF34" s="2"/>
      <c r="AG34" s="2"/>
      <c r="AH34" s="2"/>
      <c r="AI34" s="2"/>
      <c r="AJ34" s="2"/>
      <c r="AK34" s="2"/>
      <c r="AL34" s="113"/>
      <c r="AO34" s="503" t="s">
        <v>114</v>
      </c>
      <c r="AP34" s="503"/>
      <c r="AQ34" s="503"/>
      <c r="AR34" s="503" t="s">
        <v>117</v>
      </c>
      <c r="AS34" s="477"/>
      <c r="BF34" s="508">
        <f>+MIN(BF6:BF30)</f>
        <v>-480.30827090286255</v>
      </c>
      <c r="BG34" s="509">
        <f t="shared" ref="BG34:BI34" si="52">+MIN(BG6:BG30)</f>
        <v>-480.30827090286255</v>
      </c>
      <c r="BH34" s="510">
        <f t="shared" si="52"/>
        <v>-1.2127373631884182</v>
      </c>
      <c r="BI34" s="511">
        <f t="shared" si="52"/>
        <v>-1.2127373631884182</v>
      </c>
      <c r="BO34" s="122">
        <f>+MIN(BO6:BO30)</f>
        <v>1.0200560855863973E-2</v>
      </c>
      <c r="BP34" s="123">
        <f>+MIN(BP6:BP30)</f>
        <v>8.825865449488976E-3</v>
      </c>
    </row>
    <row r="35" spans="1:68" ht="15.75" customHeight="1" x14ac:dyDescent="0.25">
      <c r="A35" s="938" t="str">
        <f>IF(G10&lt;H10,"ERROR - PENETRATION FORCE EXCEEDS MAXIMUM",IF(G10&gt;0,"ERROR - PENETRATION FORCE MUST BE -ve","Penetration Force OK"))</f>
        <v>Penetration Force OK</v>
      </c>
      <c r="B35" s="939"/>
      <c r="C35" s="939"/>
      <c r="D35" s="939"/>
      <c r="E35" s="942"/>
      <c r="F35" s="942"/>
      <c r="G35" s="942"/>
      <c r="H35" s="942"/>
      <c r="I35" s="942"/>
      <c r="J35" s="943"/>
      <c r="K35" s="154"/>
      <c r="L35" s="97"/>
      <c r="M35" s="98"/>
      <c r="N35" s="98"/>
      <c r="O35" s="98"/>
      <c r="P35" s="100"/>
      <c r="Q35" s="101"/>
      <c r="R35" s="101"/>
      <c r="S35" s="101"/>
      <c r="T35" s="100"/>
      <c r="U35" s="102"/>
      <c r="X35" s="419" t="s">
        <v>179</v>
      </c>
      <c r="Y35" s="419"/>
      <c r="Z35" s="419"/>
      <c r="AA35" s="419"/>
      <c r="AB35" s="419"/>
      <c r="AC35" s="419"/>
      <c r="AD35" s="419"/>
      <c r="AE35" s="423"/>
      <c r="AF35" s="2"/>
      <c r="AG35" s="2"/>
      <c r="AJ35" s="2"/>
      <c r="AK35" s="2"/>
      <c r="AL35" s="113"/>
      <c r="AO35" s="503" t="s">
        <v>115</v>
      </c>
      <c r="AP35" s="503" t="s">
        <v>116</v>
      </c>
      <c r="AQ35" s="503"/>
      <c r="AR35" s="503" t="s">
        <v>115</v>
      </c>
      <c r="AS35" s="503" t="s">
        <v>116</v>
      </c>
    </row>
    <row r="36" spans="1:68" ht="15.75" customHeight="1" x14ac:dyDescent="0.25">
      <c r="A36" s="938" t="str">
        <f>+IF(AE40=0,"Slewing Footpad Forces OK","ERROR - With Slewing Footpad Forces")</f>
        <v>Slewing Footpad Forces OK</v>
      </c>
      <c r="B36" s="939"/>
      <c r="C36" s="939"/>
      <c r="D36" s="939"/>
      <c r="E36" s="942"/>
      <c r="F36" s="942"/>
      <c r="G36" s="942"/>
      <c r="H36" s="942"/>
      <c r="I36" s="942"/>
      <c r="J36" s="943"/>
      <c r="K36" s="154"/>
      <c r="L36" s="97" t="s">
        <v>232</v>
      </c>
      <c r="M36" s="98"/>
      <c r="N36" s="15"/>
      <c r="O36" s="15"/>
      <c r="Q36" s="126">
        <f>+BO32</f>
        <v>0.73499234132631408</v>
      </c>
      <c r="R36" s="101"/>
      <c r="S36" s="101"/>
      <c r="T36" s="100"/>
      <c r="U36" s="102"/>
      <c r="X36" s="916" t="s">
        <v>74</v>
      </c>
      <c r="Y36" s="916"/>
      <c r="Z36" s="419"/>
      <c r="AA36" s="420">
        <f>+G12</f>
        <v>-303</v>
      </c>
      <c r="AB36" s="420">
        <f t="shared" ref="AB36:AD39" si="53">+H12</f>
        <v>-450</v>
      </c>
      <c r="AC36" s="420">
        <f t="shared" si="53"/>
        <v>202</v>
      </c>
      <c r="AD36" s="420">
        <f t="shared" si="53"/>
        <v>1.5</v>
      </c>
      <c r="AE36" s="419">
        <f>+IF(AA36&gt;0,1,IF(AA36&lt;AB36,1,0))</f>
        <v>0</v>
      </c>
      <c r="AO36" s="503">
        <f>+-1*(I28+I27)/2</f>
        <v>-2</v>
      </c>
      <c r="AP36" s="503">
        <f>+I26/2</f>
        <v>1.907</v>
      </c>
      <c r="AQ36" s="503"/>
      <c r="AR36" s="503">
        <f>+AO36*-1</f>
        <v>2</v>
      </c>
      <c r="AS36" s="503">
        <f>+AP36</f>
        <v>1.907</v>
      </c>
    </row>
    <row r="37" spans="1:68" ht="15.75" customHeight="1" thickBot="1" x14ac:dyDescent="0.3">
      <c r="A37" s="938" t="str">
        <f>+IF(AE41=0,"Non-Slewing Footpad Forces OK","ERROR - With Non-Slewing Footpad Forces")</f>
        <v>Non-Slewing Footpad Forces OK</v>
      </c>
      <c r="B37" s="939"/>
      <c r="C37" s="939"/>
      <c r="D37" s="939"/>
      <c r="E37" s="944"/>
      <c r="F37" s="944"/>
      <c r="G37" s="944"/>
      <c r="H37" s="944"/>
      <c r="I37" s="944"/>
      <c r="J37" s="945"/>
      <c r="K37" s="154"/>
      <c r="L37" s="97" t="s">
        <v>231</v>
      </c>
      <c r="M37" s="98"/>
      <c r="N37" s="118"/>
      <c r="O37" s="103"/>
      <c r="Q37" s="126">
        <f>+BP32</f>
        <v>0.6359398863075082</v>
      </c>
      <c r="R37" s="101"/>
      <c r="S37" s="101"/>
      <c r="T37" s="100"/>
      <c r="U37" s="102"/>
      <c r="X37" s="916" t="s">
        <v>75</v>
      </c>
      <c r="Y37" s="916"/>
      <c r="Z37" s="419"/>
      <c r="AA37" s="420">
        <f t="shared" ref="AA37:AA38" si="54">+G13</f>
        <v>0</v>
      </c>
      <c r="AB37" s="420">
        <f t="shared" si="53"/>
        <v>0</v>
      </c>
      <c r="AC37" s="420">
        <f t="shared" si="53"/>
        <v>-9.9999999999999992E-25</v>
      </c>
      <c r="AD37" s="420">
        <f t="shared" si="53"/>
        <v>0</v>
      </c>
      <c r="AE37" s="419">
        <f t="shared" ref="AE37:AE45" si="55">+IF(AA37&gt;0,1,IF(AA37&lt;AB37,1,0))</f>
        <v>0</v>
      </c>
      <c r="AO37" s="503">
        <f>+-1*(I28/2-I27/2)</f>
        <v>-1.2999999999999998</v>
      </c>
      <c r="AP37" s="503">
        <f>+I26/2</f>
        <v>1.907</v>
      </c>
      <c r="AQ37" s="503"/>
      <c r="AR37" s="503">
        <f t="shared" ref="AR37" si="56">+AO37*-1</f>
        <v>1.2999999999999998</v>
      </c>
      <c r="AS37" s="503">
        <f t="shared" ref="AS37" si="57">+AP37</f>
        <v>1.907</v>
      </c>
    </row>
    <row r="38" spans="1:68" ht="15.75" customHeight="1" x14ac:dyDescent="0.25">
      <c r="A38" s="158"/>
      <c r="B38" s="154"/>
      <c r="C38" s="154"/>
      <c r="D38" s="155"/>
      <c r="E38" s="155"/>
      <c r="F38" s="155"/>
      <c r="G38" s="155"/>
      <c r="H38" s="155"/>
      <c r="I38" s="154"/>
      <c r="J38" s="154"/>
      <c r="K38" s="154"/>
      <c r="L38" s="97" t="s">
        <v>166</v>
      </c>
      <c r="M38" s="98"/>
      <c r="N38" s="118"/>
      <c r="P38" s="100"/>
      <c r="Q38" s="103" t="str">
        <f>+IF(MIN(O6:O29)&lt;=0,"Track(s) lifting",IF(MIN(Q6:Q29)&lt;=0,"Track(s) lifting","None"))</f>
        <v>Track(s) lifting</v>
      </c>
      <c r="R38" s="101"/>
      <c r="S38" s="101"/>
      <c r="T38" s="100"/>
      <c r="U38" s="102"/>
      <c r="X38" s="916" t="s">
        <v>77</v>
      </c>
      <c r="Y38" s="916"/>
      <c r="Z38" s="419"/>
      <c r="AA38" s="420">
        <f t="shared" si="54"/>
        <v>0</v>
      </c>
      <c r="AB38" s="420">
        <f t="shared" si="53"/>
        <v>0</v>
      </c>
      <c r="AC38" s="420">
        <f t="shared" si="53"/>
        <v>-9.9999999999999992E-25</v>
      </c>
      <c r="AD38" s="420">
        <f t="shared" si="53"/>
        <v>0</v>
      </c>
      <c r="AE38" s="419">
        <f t="shared" si="55"/>
        <v>0</v>
      </c>
      <c r="AO38" s="503">
        <f>+AO37</f>
        <v>-1.2999999999999998</v>
      </c>
      <c r="AP38" s="503">
        <f>+-1*AP37</f>
        <v>-1.907</v>
      </c>
      <c r="AQ38" s="503"/>
      <c r="AR38" s="503">
        <f>+AO38*-1</f>
        <v>1.2999999999999998</v>
      </c>
      <c r="AS38" s="503">
        <f>+AP38</f>
        <v>-1.907</v>
      </c>
    </row>
    <row r="39" spans="1:68" ht="15.75" customHeight="1" x14ac:dyDescent="0.25">
      <c r="A39" s="158"/>
      <c r="B39" s="154"/>
      <c r="C39" s="154"/>
      <c r="D39" s="155"/>
      <c r="E39" s="155"/>
      <c r="F39" s="155"/>
      <c r="G39" s="155"/>
      <c r="H39" s="155"/>
      <c r="I39" s="154"/>
      <c r="J39" s="154"/>
      <c r="K39" s="154"/>
      <c r="L39" s="107" t="s">
        <v>163</v>
      </c>
      <c r="M39" s="103"/>
      <c r="N39" s="15"/>
      <c r="P39" s="103"/>
      <c r="Q39" s="103" t="str">
        <f>IF($I$16=-1E+24,"No Slewing Foot Pads Deployed",IF(U32&gt;MAX(U6:U29),"ERROR - Slewing Foot Pad Pressure Exceeds Track Pressure","Slewing Foot Pad Pressure OK"))</f>
        <v>Slewing Foot Pad Pressure OK</v>
      </c>
      <c r="R39" s="103"/>
      <c r="S39" s="103"/>
      <c r="T39" s="103"/>
      <c r="U39" s="104"/>
      <c r="X39" s="916" t="s">
        <v>78</v>
      </c>
      <c r="Y39" s="916"/>
      <c r="Z39" s="419"/>
      <c r="AA39" s="420">
        <f>+G15</f>
        <v>0</v>
      </c>
      <c r="AB39" s="420">
        <f t="shared" si="53"/>
        <v>0</v>
      </c>
      <c r="AC39" s="420">
        <f t="shared" si="53"/>
        <v>-9.9999999999999992E-25</v>
      </c>
      <c r="AD39" s="420">
        <f>+J15</f>
        <v>0</v>
      </c>
      <c r="AE39" s="419">
        <f t="shared" si="55"/>
        <v>0</v>
      </c>
      <c r="AO39" s="503">
        <f>+AO36</f>
        <v>-2</v>
      </c>
      <c r="AP39" s="503">
        <f>+-1*AP36</f>
        <v>-1.907</v>
      </c>
      <c r="AQ39" s="503"/>
      <c r="AR39" s="503">
        <f>+AO39*-1</f>
        <v>2</v>
      </c>
      <c r="AS39" s="503">
        <f>+AP39</f>
        <v>-1.907</v>
      </c>
    </row>
    <row r="40" spans="1:68" ht="15.75" customHeight="1" thickBot="1" x14ac:dyDescent="0.3">
      <c r="A40" s="158"/>
      <c r="B40" s="154"/>
      <c r="C40" s="154"/>
      <c r="D40" s="155"/>
      <c r="E40" s="155"/>
      <c r="F40" s="155"/>
      <c r="G40" s="155"/>
      <c r="H40" s="155"/>
      <c r="I40" s="154"/>
      <c r="J40" s="154"/>
      <c r="K40" s="154"/>
      <c r="L40" s="107" t="s">
        <v>164</v>
      </c>
      <c r="M40" s="103"/>
      <c r="N40" s="15"/>
      <c r="P40" s="103"/>
      <c r="Q40" s="103" t="str">
        <f>IF($I$24=-1E+24,"No Non-Slewing Foot Pads Deployed",IF(U33&gt;MAX(U6:U29),"ERROR - Non-Slewing Foot Pad Pressure Exceeds Track Pressure","Non-Slewing Foot Pad Pressure OK"))</f>
        <v>Non-Slewing Foot Pad Pressure OK</v>
      </c>
      <c r="R40" s="103"/>
      <c r="S40" s="103"/>
      <c r="T40" s="103"/>
      <c r="U40" s="104"/>
      <c r="X40" s="419"/>
      <c r="Y40" s="419"/>
      <c r="Z40" s="419"/>
      <c r="AA40" s="419"/>
      <c r="AB40" s="419"/>
      <c r="AC40" s="419"/>
      <c r="AD40" s="421" t="s">
        <v>189</v>
      </c>
      <c r="AE40" s="422">
        <f>+MAX(AE36:AE39)</f>
        <v>0</v>
      </c>
      <c r="AO40" s="503">
        <f>+AO36</f>
        <v>-2</v>
      </c>
      <c r="AP40" s="503">
        <f>+AP36</f>
        <v>1.907</v>
      </c>
      <c r="AQ40" s="477"/>
      <c r="AR40" s="503">
        <f>+AR36</f>
        <v>2</v>
      </c>
      <c r="AS40" s="503">
        <f>+AS36</f>
        <v>1.907</v>
      </c>
    </row>
    <row r="41" spans="1:68" ht="15.75" customHeight="1" thickBot="1" x14ac:dyDescent="0.3">
      <c r="A41" s="153" t="s">
        <v>44</v>
      </c>
      <c r="B41" s="154"/>
      <c r="C41" s="154"/>
      <c r="D41" s="155"/>
      <c r="E41" s="155"/>
      <c r="F41" s="155"/>
      <c r="G41" s="155"/>
      <c r="H41" s="155"/>
      <c r="I41" s="154"/>
      <c r="J41" s="154"/>
      <c r="K41" s="154"/>
      <c r="L41" s="19"/>
      <c r="M41" s="20"/>
      <c r="N41" s="20"/>
      <c r="O41" s="20"/>
      <c r="P41" s="29"/>
      <c r="Q41" s="953" t="s">
        <v>54</v>
      </c>
      <c r="R41" s="954"/>
      <c r="S41" s="954"/>
      <c r="T41" s="955"/>
      <c r="U41" s="159">
        <v>2</v>
      </c>
      <c r="X41" s="419" t="s">
        <v>186</v>
      </c>
      <c r="Y41" s="419"/>
      <c r="Z41" s="419"/>
      <c r="AA41" s="419"/>
      <c r="AB41" s="419"/>
      <c r="AC41" s="419"/>
      <c r="AD41" s="419"/>
      <c r="AE41" s="419"/>
    </row>
    <row r="42" spans="1:68" ht="15.75" customHeight="1" x14ac:dyDescent="0.2">
      <c r="A42" s="956" t="s">
        <v>170</v>
      </c>
      <c r="B42" s="956"/>
      <c r="C42" s="956"/>
      <c r="D42" s="956"/>
      <c r="E42" s="956"/>
      <c r="F42" s="956"/>
      <c r="G42" s="956"/>
      <c r="H42" s="956"/>
      <c r="I42" s="956"/>
      <c r="J42" s="956"/>
      <c r="K42" s="956"/>
      <c r="R42" s="23"/>
      <c r="S42" s="22"/>
      <c r="T42" s="22"/>
      <c r="X42" s="916" t="s">
        <v>74</v>
      </c>
      <c r="Y42" s="916"/>
      <c r="Z42" s="419"/>
      <c r="AA42" s="420">
        <f>+G20</f>
        <v>0</v>
      </c>
      <c r="AB42" s="420">
        <f t="shared" ref="AB42:AD45" si="58">+H20</f>
        <v>0</v>
      </c>
      <c r="AC42" s="420">
        <f t="shared" si="58"/>
        <v>-9.9999999999999992E-25</v>
      </c>
      <c r="AD42" s="420">
        <f t="shared" si="58"/>
        <v>0</v>
      </c>
      <c r="AE42" s="419">
        <f t="shared" si="55"/>
        <v>0</v>
      </c>
    </row>
    <row r="43" spans="1:68" ht="15.75" customHeight="1" x14ac:dyDescent="0.2">
      <c r="A43" s="478" t="s">
        <v>169</v>
      </c>
      <c r="B43" s="154"/>
      <c r="C43" s="154"/>
      <c r="D43" s="154"/>
      <c r="E43" s="155"/>
      <c r="F43" s="155"/>
      <c r="G43" s="155"/>
      <c r="H43" s="155"/>
      <c r="I43" s="154"/>
      <c r="J43" s="154"/>
      <c r="K43" s="154"/>
      <c r="X43" s="916" t="s">
        <v>75</v>
      </c>
      <c r="Y43" s="916"/>
      <c r="Z43" s="419"/>
      <c r="AA43" s="420">
        <f t="shared" ref="AA43:AA45" si="59">+G21</f>
        <v>0</v>
      </c>
      <c r="AB43" s="420">
        <f t="shared" si="58"/>
        <v>0</v>
      </c>
      <c r="AC43" s="420">
        <f t="shared" si="58"/>
        <v>-9.9999999999999992E-25</v>
      </c>
      <c r="AD43" s="420">
        <f t="shared" si="58"/>
        <v>0</v>
      </c>
      <c r="AE43" s="419">
        <f t="shared" si="55"/>
        <v>0</v>
      </c>
    </row>
    <row r="44" spans="1:68" ht="15.75" customHeight="1" x14ac:dyDescent="0.2">
      <c r="A44" s="478" t="s">
        <v>171</v>
      </c>
      <c r="B44" s="154"/>
      <c r="C44" s="154"/>
      <c r="D44" s="154"/>
      <c r="E44" s="155"/>
      <c r="F44" s="155"/>
      <c r="G44" s="155"/>
      <c r="H44" s="155"/>
      <c r="I44" s="154"/>
      <c r="J44" s="154"/>
      <c r="K44" s="154"/>
      <c r="X44" s="916" t="s">
        <v>77</v>
      </c>
      <c r="Y44" s="916"/>
      <c r="Z44" s="419"/>
      <c r="AA44" s="420">
        <f t="shared" si="59"/>
        <v>0</v>
      </c>
      <c r="AB44" s="420">
        <f t="shared" si="58"/>
        <v>0</v>
      </c>
      <c r="AC44" s="420">
        <f t="shared" si="58"/>
        <v>-9.9999999999999992E-25</v>
      </c>
      <c r="AD44" s="420">
        <f t="shared" si="58"/>
        <v>0</v>
      </c>
      <c r="AE44" s="419">
        <f t="shared" si="55"/>
        <v>0</v>
      </c>
    </row>
    <row r="45" spans="1:68" ht="15.75" customHeight="1" x14ac:dyDescent="0.2">
      <c r="A45" s="478" t="s">
        <v>172</v>
      </c>
      <c r="B45" s="154"/>
      <c r="C45" s="154"/>
      <c r="D45" s="154"/>
      <c r="E45" s="155"/>
      <c r="F45" s="155"/>
      <c r="G45" s="155"/>
      <c r="H45" s="155"/>
      <c r="I45" s="154"/>
      <c r="J45" s="154"/>
      <c r="K45" s="154"/>
      <c r="X45" s="916" t="s">
        <v>78</v>
      </c>
      <c r="Y45" s="916"/>
      <c r="Z45" s="419"/>
      <c r="AA45" s="420">
        <f t="shared" si="59"/>
        <v>0</v>
      </c>
      <c r="AB45" s="420">
        <f t="shared" si="58"/>
        <v>0</v>
      </c>
      <c r="AC45" s="420">
        <f t="shared" si="58"/>
        <v>-9.9999999999999992E-25</v>
      </c>
      <c r="AD45" s="420">
        <f>+J23</f>
        <v>0</v>
      </c>
      <c r="AE45" s="419">
        <f t="shared" si="55"/>
        <v>0</v>
      </c>
    </row>
    <row r="46" spans="1:68" ht="15.75" customHeight="1" x14ac:dyDescent="0.2">
      <c r="A46" s="478" t="s">
        <v>173</v>
      </c>
      <c r="B46" s="154"/>
      <c r="C46" s="154"/>
      <c r="D46" s="154"/>
      <c r="E46" s="155"/>
      <c r="F46" s="155"/>
      <c r="G46" s="155"/>
      <c r="H46" s="155"/>
      <c r="I46" s="154"/>
      <c r="J46" s="154"/>
      <c r="K46" s="154"/>
      <c r="AD46" s="421" t="s">
        <v>189</v>
      </c>
      <c r="AE46" s="422">
        <f>+MAX(AE42:AE45)</f>
        <v>0</v>
      </c>
    </row>
    <row r="47" spans="1:68" ht="15.75" customHeight="1" x14ac:dyDescent="0.25">
      <c r="A47" s="478"/>
      <c r="B47" s="154"/>
      <c r="C47" s="154"/>
      <c r="D47" s="155"/>
      <c r="E47" s="155"/>
      <c r="F47" s="155"/>
      <c r="G47" s="157"/>
      <c r="H47" s="155"/>
      <c r="I47" s="154"/>
      <c r="J47" s="154"/>
      <c r="K47" s="154"/>
      <c r="R47" s="23"/>
    </row>
    <row r="48" spans="1:68" ht="15.75" customHeight="1" x14ac:dyDescent="0.2">
      <c r="A48" s="478" t="s">
        <v>49</v>
      </c>
      <c r="B48" s="154"/>
      <c r="C48" s="154"/>
      <c r="D48" s="155"/>
      <c r="E48" s="155"/>
      <c r="F48" s="155"/>
      <c r="G48" s="155"/>
      <c r="H48" s="155"/>
      <c r="I48" s="154"/>
      <c r="J48" s="154"/>
      <c r="K48" s="154"/>
      <c r="R48" s="23"/>
    </row>
    <row r="49" spans="1:17" ht="15.75" customHeight="1" x14ac:dyDescent="0.2">
      <c r="A49" s="478" t="s">
        <v>48</v>
      </c>
      <c r="B49" s="154"/>
      <c r="C49" s="154"/>
      <c r="D49" s="155"/>
      <c r="E49" s="155"/>
      <c r="F49" s="155"/>
      <c r="G49" s="155"/>
      <c r="H49" s="155"/>
      <c r="I49" s="154"/>
      <c r="J49" s="154"/>
      <c r="K49" s="154"/>
      <c r="M49" s="1"/>
      <c r="N49" s="1"/>
      <c r="O49" s="1"/>
      <c r="P49" s="1"/>
      <c r="Q49" s="1"/>
    </row>
    <row r="50" spans="1:17" ht="15.75" customHeight="1" x14ac:dyDescent="0.2">
      <c r="A50" s="154" t="s">
        <v>45</v>
      </c>
      <c r="B50" s="154"/>
      <c r="C50" s="154"/>
      <c r="D50" s="155"/>
      <c r="E50" s="155"/>
      <c r="F50" s="155"/>
      <c r="G50" s="155"/>
      <c r="H50" s="155"/>
      <c r="I50" s="154"/>
      <c r="J50" s="154"/>
      <c r="K50" s="154"/>
      <c r="L50" s="24"/>
    </row>
    <row r="51" spans="1:17" ht="15.75" customHeight="1" x14ac:dyDescent="0.2">
      <c r="A51" s="154" t="s">
        <v>46</v>
      </c>
      <c r="B51" s="154"/>
      <c r="C51" s="154"/>
      <c r="D51" s="155"/>
      <c r="E51" s="155"/>
      <c r="F51" s="155"/>
      <c r="G51" s="155"/>
      <c r="H51" s="155"/>
      <c r="I51" s="154"/>
      <c r="J51" s="154"/>
      <c r="K51" s="154"/>
    </row>
    <row r="52" spans="1:17" ht="15.75" customHeight="1" x14ac:dyDescent="0.2">
      <c r="A52" s="158"/>
      <c r="B52" s="154"/>
      <c r="C52" s="154"/>
      <c r="D52" s="155"/>
      <c r="E52" s="155"/>
      <c r="F52" s="155"/>
      <c r="G52" s="155"/>
      <c r="H52" s="155"/>
      <c r="I52" s="154"/>
      <c r="J52" s="154"/>
      <c r="K52" s="154"/>
    </row>
    <row r="53" spans="1:17" ht="15.75" customHeight="1" x14ac:dyDescent="0.25">
      <c r="A53" s="276" t="s">
        <v>47</v>
      </c>
      <c r="B53" s="154"/>
      <c r="C53" s="155"/>
      <c r="D53" s="155"/>
      <c r="E53" s="155"/>
      <c r="F53" s="276" t="s">
        <v>64</v>
      </c>
      <c r="G53" s="155"/>
      <c r="H53" s="155"/>
      <c r="I53" s="154"/>
      <c r="J53" s="154"/>
      <c r="K53" s="154"/>
    </row>
    <row r="54" spans="1:17" ht="15.75" customHeight="1" x14ac:dyDescent="0.2">
      <c r="A54" s="1"/>
      <c r="D54" s="1"/>
      <c r="E54" s="1"/>
      <c r="F54" s="1"/>
      <c r="G54" s="1"/>
      <c r="K54" s="24"/>
    </row>
    <row r="55" spans="1:17" ht="15.75" customHeight="1" x14ac:dyDescent="0.2">
      <c r="G55" s="1"/>
    </row>
    <row r="56" spans="1:17" x14ac:dyDescent="0.2">
      <c r="G56" s="1"/>
    </row>
    <row r="57" spans="1:17" x14ac:dyDescent="0.2">
      <c r="G57" s="1"/>
    </row>
    <row r="58" spans="1:17" ht="15" x14ac:dyDescent="0.2">
      <c r="G58" s="1"/>
      <c r="L58" s="24"/>
    </row>
    <row r="59" spans="1:17" ht="15" x14ac:dyDescent="0.2">
      <c r="G59" s="1"/>
      <c r="L59" s="24"/>
    </row>
    <row r="60" spans="1:17" ht="15" x14ac:dyDescent="0.2">
      <c r="L60" s="24"/>
    </row>
    <row r="61" spans="1:17" ht="15" x14ac:dyDescent="0.2">
      <c r="L61" s="24"/>
    </row>
  </sheetData>
  <sheetProtection sheet="1" objects="1" scenarios="1"/>
  <mergeCells count="123">
    <mergeCell ref="X44:Y44"/>
    <mergeCell ref="X45:Y45"/>
    <mergeCell ref="X38:Y38"/>
    <mergeCell ref="X39:Y39"/>
    <mergeCell ref="Q41:T41"/>
    <mergeCell ref="A42:K42"/>
    <mergeCell ref="X42:Y42"/>
    <mergeCell ref="X43:Y43"/>
    <mergeCell ref="A35:D35"/>
    <mergeCell ref="E35:J35"/>
    <mergeCell ref="A36:D36"/>
    <mergeCell ref="E36:J36"/>
    <mergeCell ref="X36:Y36"/>
    <mergeCell ref="A37:D37"/>
    <mergeCell ref="E37:J37"/>
    <mergeCell ref="X37:Y37"/>
    <mergeCell ref="X32:Y34"/>
    <mergeCell ref="AA32:AA34"/>
    <mergeCell ref="AB32:AB34"/>
    <mergeCell ref="AC32:AC34"/>
    <mergeCell ref="AD32:AD34"/>
    <mergeCell ref="A33:D33"/>
    <mergeCell ref="E33:J33"/>
    <mergeCell ref="A34:D34"/>
    <mergeCell ref="E34:J34"/>
    <mergeCell ref="P34:S34"/>
    <mergeCell ref="R30:S30"/>
    <mergeCell ref="A32:D32"/>
    <mergeCell ref="E32:J32"/>
    <mergeCell ref="G24:H24"/>
    <mergeCell ref="G26:H26"/>
    <mergeCell ref="I26:J26"/>
    <mergeCell ref="A27:A28"/>
    <mergeCell ref="B27:B28"/>
    <mergeCell ref="C27:C28"/>
    <mergeCell ref="D27:D28"/>
    <mergeCell ref="E27:E28"/>
    <mergeCell ref="F27:F28"/>
    <mergeCell ref="G27:H27"/>
    <mergeCell ref="A24:A25"/>
    <mergeCell ref="B24:B25"/>
    <mergeCell ref="C24:C25"/>
    <mergeCell ref="D24:D25"/>
    <mergeCell ref="E24:E25"/>
    <mergeCell ref="F24:F25"/>
    <mergeCell ref="A18:F18"/>
    <mergeCell ref="G18:G19"/>
    <mergeCell ref="H18:H19"/>
    <mergeCell ref="I18:I19"/>
    <mergeCell ref="J18:J19"/>
    <mergeCell ref="AV4:AV5"/>
    <mergeCell ref="I27:J27"/>
    <mergeCell ref="G28:H28"/>
    <mergeCell ref="I28:J28"/>
    <mergeCell ref="G6:G7"/>
    <mergeCell ref="H6:H7"/>
    <mergeCell ref="O2:O5"/>
    <mergeCell ref="I10:I11"/>
    <mergeCell ref="J10:J11"/>
    <mergeCell ref="G16:H16"/>
    <mergeCell ref="A3:F3"/>
    <mergeCell ref="T3:U3"/>
    <mergeCell ref="AO3:AO5"/>
    <mergeCell ref="AP3:AP5"/>
    <mergeCell ref="AQ3:AQ5"/>
    <mergeCell ref="AM2:AM5"/>
    <mergeCell ref="AO2:AS2"/>
    <mergeCell ref="X2:X5"/>
    <mergeCell ref="Y2:Y5"/>
    <mergeCell ref="B1:B2"/>
    <mergeCell ref="C1:C2"/>
    <mergeCell ref="D1:D2"/>
    <mergeCell ref="E1:E2"/>
    <mergeCell ref="F1:F2"/>
    <mergeCell ref="L1:O1"/>
    <mergeCell ref="L2:L5"/>
    <mergeCell ref="M2:M5"/>
    <mergeCell ref="N2:N5"/>
    <mergeCell ref="BR2:BS2"/>
    <mergeCell ref="AS3:AS5"/>
    <mergeCell ref="AU3:AU5"/>
    <mergeCell ref="AV3:AW3"/>
    <mergeCell ref="AX3:AX5"/>
    <mergeCell ref="AE2:AE3"/>
    <mergeCell ref="AG2:AG3"/>
    <mergeCell ref="AH2:AH3"/>
    <mergeCell ref="AI2:AI3"/>
    <mergeCell ref="AJ2:AJ3"/>
    <mergeCell ref="AK2:AK3"/>
    <mergeCell ref="BO3:BO5"/>
    <mergeCell ref="BP3:BP5"/>
    <mergeCell ref="BR3:BS4"/>
    <mergeCell ref="AY3:AY5"/>
    <mergeCell ref="BA3:BA5"/>
    <mergeCell ref="BB3:BB5"/>
    <mergeCell ref="BC3:BC5"/>
    <mergeCell ref="BD3:BD5"/>
    <mergeCell ref="BF3:BF5"/>
    <mergeCell ref="AW4:AW5"/>
    <mergeCell ref="BH4:BH5"/>
    <mergeCell ref="BI4:BI5"/>
    <mergeCell ref="BJ4:BJ5"/>
    <mergeCell ref="AG1:AK1"/>
    <mergeCell ref="AM1:BM1"/>
    <mergeCell ref="P2:P5"/>
    <mergeCell ref="Q2:Q5"/>
    <mergeCell ref="R2:S2"/>
    <mergeCell ref="W2:W5"/>
    <mergeCell ref="BA2:BD2"/>
    <mergeCell ref="BF2:BI2"/>
    <mergeCell ref="BG3:BG5"/>
    <mergeCell ref="BL3:BL5"/>
    <mergeCell ref="BM3:BM5"/>
    <mergeCell ref="AR3:AR5"/>
    <mergeCell ref="AU2:AY2"/>
    <mergeCell ref="AA2:AA3"/>
    <mergeCell ref="AB2:AB3"/>
    <mergeCell ref="AC2:AC3"/>
    <mergeCell ref="AD2:AD3"/>
    <mergeCell ref="P1:S1"/>
    <mergeCell ref="T1:U2"/>
    <mergeCell ref="W1:Y1"/>
    <mergeCell ref="AA1:AE1"/>
  </mergeCells>
  <conditionalFormatting sqref="G25">
    <cfRule type="cellIs" dxfId="21" priority="13" operator="greaterThan">
      <formula>H25</formula>
    </cfRule>
  </conditionalFormatting>
  <conditionalFormatting sqref="G9">
    <cfRule type="cellIs" dxfId="20" priority="12" operator="greaterThan">
      <formula>$H$9</formula>
    </cfRule>
  </conditionalFormatting>
  <conditionalFormatting sqref="G11">
    <cfRule type="cellIs" dxfId="19" priority="11" operator="greaterThan">
      <formula>$H$11</formula>
    </cfRule>
  </conditionalFormatting>
  <conditionalFormatting sqref="G10">
    <cfRule type="cellIs" dxfId="18" priority="3" operator="greaterThan">
      <formula>0</formula>
    </cfRule>
    <cfRule type="cellIs" dxfId="17" priority="10" operator="lessThan">
      <formula>$H$10</formula>
    </cfRule>
  </conditionalFormatting>
  <conditionalFormatting sqref="W6:W29">
    <cfRule type="containsText" dxfId="16" priority="9" operator="containsText" text="Front">
      <formula>NOT(ISERROR(SEARCH("Front",W6)))</formula>
    </cfRule>
  </conditionalFormatting>
  <conditionalFormatting sqref="W6:W29">
    <cfRule type="containsText" dxfId="15" priority="8" operator="containsText" text="Rear">
      <formula>NOT(ISERROR(SEARCH("Rear",W6)))</formula>
    </cfRule>
  </conditionalFormatting>
  <conditionalFormatting sqref="G12:G15">
    <cfRule type="cellIs" dxfId="14" priority="6" operator="greaterThan">
      <formula>0</formula>
    </cfRule>
    <cfRule type="cellIs" dxfId="13" priority="7" operator="lessThan">
      <formula>$H12</formula>
    </cfRule>
  </conditionalFormatting>
  <conditionalFormatting sqref="G20:G23">
    <cfRule type="cellIs" dxfId="12" priority="4" operator="greaterThan">
      <formula>0</formula>
    </cfRule>
    <cfRule type="cellIs" dxfId="11" priority="5" operator="lessThan">
      <formula>$H20</formula>
    </cfRule>
  </conditionalFormatting>
  <dataValidations disablePrompts="1" count="1">
    <dataValidation type="list" allowBlank="1" showInputMessage="1" showErrorMessage="1" sqref="U41">
      <formula1>"0,1,2"</formula1>
    </dataValidation>
  </dataValidations>
  <pageMargins left="0.7" right="0.7" top="0.75" bottom="0.75" header="0.3" footer="0.3"/>
  <pageSetup paperSize="9" scale="5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zoomScale="75" zoomScaleNormal="75" workbookViewId="0">
      <selection activeCell="O5" sqref="O5"/>
    </sheetView>
  </sheetViews>
  <sheetFormatPr defaultRowHeight="12.75" x14ac:dyDescent="0.2"/>
  <cols>
    <col min="1" max="1" width="23.375" style="21" customWidth="1"/>
    <col min="2" max="3" width="10.625" style="1" customWidth="1"/>
    <col min="4" max="8" width="10.625" style="22" customWidth="1"/>
    <col min="9" max="10" width="10.625" style="1" customWidth="1"/>
    <col min="11" max="11" width="29.75" style="1" customWidth="1"/>
    <col min="12" max="12" width="11" style="1" customWidth="1"/>
    <col min="13" max="13" width="9.125" style="22" hidden="1" customWidth="1"/>
    <col min="14" max="17" width="9.125" style="22" customWidth="1"/>
    <col min="18" max="19" width="9" style="1"/>
    <col min="20" max="20" width="9.375" style="1" bestFit="1" customWidth="1"/>
    <col min="21" max="25" width="9" style="1"/>
    <col min="26" max="26" width="3.5" style="1" customWidth="1"/>
    <col min="27" max="31" width="9.125" style="1" customWidth="1"/>
    <col min="32" max="32" width="3.5" style="1" customWidth="1"/>
    <col min="33" max="37" width="9.125" style="1" customWidth="1"/>
    <col min="38" max="38" width="2.875" style="114" customWidth="1"/>
    <col min="39" max="39" width="9" style="1"/>
    <col min="40" max="40" width="3.25" style="1" customWidth="1"/>
    <col min="41" max="45" width="9" style="1"/>
    <col min="46" max="46" width="3.25" style="1" customWidth="1"/>
    <col min="47" max="51" width="9" style="1"/>
    <col min="52" max="52" width="3.25" style="1" customWidth="1"/>
    <col min="53" max="53" width="9" style="1"/>
    <col min="54" max="54" width="11" style="1" bestFit="1" customWidth="1"/>
    <col min="55" max="56" width="9" style="1"/>
    <col min="57" max="57" width="3.5" style="1" customWidth="1"/>
    <col min="58" max="59" width="9" style="1"/>
    <col min="60" max="60" width="9.125" style="1" bestFit="1" customWidth="1"/>
    <col min="61" max="61" width="9.75" style="1" bestFit="1" customWidth="1"/>
    <col min="62" max="62" width="9.75" style="1" customWidth="1"/>
    <col min="63" max="63" width="3.5" style="1" customWidth="1"/>
    <col min="64" max="65" width="9" style="1"/>
    <col min="66" max="66" width="3.625" style="1" customWidth="1"/>
    <col min="67" max="67" width="10.875" style="1" customWidth="1"/>
    <col min="68" max="68" width="10.25" style="1" customWidth="1"/>
    <col min="69" max="69" width="3.375" style="1" customWidth="1"/>
    <col min="70" max="71" width="11.25" style="1" customWidth="1"/>
    <col min="72" max="16384" width="9" style="1"/>
  </cols>
  <sheetData>
    <row r="1" spans="1:71" s="479" customFormat="1" ht="74.25" customHeight="1" thickTop="1" thickBot="1" x14ac:dyDescent="0.35">
      <c r="A1" s="30" t="str">
        <f>'Input Page'!C4</f>
        <v>EXAMPLE</v>
      </c>
      <c r="B1" s="835" t="s">
        <v>174</v>
      </c>
      <c r="C1" s="835" t="s">
        <v>67</v>
      </c>
      <c r="D1" s="846" t="s">
        <v>68</v>
      </c>
      <c r="E1" s="815" t="s">
        <v>86</v>
      </c>
      <c r="F1" s="833" t="s">
        <v>87</v>
      </c>
      <c r="G1" s="166"/>
      <c r="H1" s="167"/>
      <c r="I1" s="168"/>
      <c r="J1" s="168"/>
      <c r="K1" s="168"/>
      <c r="L1" s="928" t="s">
        <v>38</v>
      </c>
      <c r="M1" s="929"/>
      <c r="N1" s="929"/>
      <c r="O1" s="929"/>
      <c r="P1" s="923" t="s">
        <v>28</v>
      </c>
      <c r="Q1" s="924"/>
      <c r="R1" s="924"/>
      <c r="S1" s="925"/>
      <c r="T1" s="934" t="s">
        <v>25</v>
      </c>
      <c r="U1" s="935"/>
      <c r="V1" s="1"/>
      <c r="W1" s="926" t="s">
        <v>141</v>
      </c>
      <c r="X1" s="927"/>
      <c r="Y1" s="927"/>
      <c r="Z1" s="547"/>
      <c r="AA1" s="969" t="s">
        <v>27</v>
      </c>
      <c r="AB1" s="969"/>
      <c r="AC1" s="969"/>
      <c r="AD1" s="969"/>
      <c r="AE1" s="969"/>
      <c r="AF1" s="547"/>
      <c r="AG1" s="969" t="s">
        <v>11</v>
      </c>
      <c r="AH1" s="969"/>
      <c r="AI1" s="969"/>
      <c r="AJ1" s="969"/>
      <c r="AK1" s="970"/>
      <c r="AL1" s="56"/>
      <c r="AM1" s="959" t="s">
        <v>96</v>
      </c>
      <c r="AN1" s="960"/>
      <c r="AO1" s="960"/>
      <c r="AP1" s="960"/>
      <c r="AQ1" s="960"/>
      <c r="AR1" s="960"/>
      <c r="AS1" s="960"/>
      <c r="AT1" s="960"/>
      <c r="AU1" s="960"/>
      <c r="AV1" s="960"/>
      <c r="AW1" s="960"/>
      <c r="AX1" s="960"/>
      <c r="AY1" s="960"/>
      <c r="AZ1" s="960"/>
      <c r="BA1" s="960"/>
      <c r="BB1" s="960"/>
      <c r="BC1" s="960"/>
      <c r="BD1" s="960"/>
      <c r="BE1" s="960"/>
      <c r="BF1" s="960"/>
      <c r="BG1" s="960"/>
      <c r="BH1" s="960"/>
      <c r="BI1" s="960"/>
      <c r="BJ1" s="960"/>
      <c r="BK1" s="960"/>
      <c r="BL1" s="960"/>
      <c r="BM1" s="961"/>
    </row>
    <row r="2" spans="1:71" s="479" customFormat="1" ht="27.75" customHeight="1" thickTop="1" thickBot="1" x14ac:dyDescent="0.35">
      <c r="A2" s="405" t="str">
        <f>'Input Page'!G4</f>
        <v>ZX1000</v>
      </c>
      <c r="B2" s="836"/>
      <c r="C2" s="836"/>
      <c r="D2" s="847"/>
      <c r="E2" s="816"/>
      <c r="F2" s="834"/>
      <c r="G2" s="167"/>
      <c r="H2" s="167"/>
      <c r="I2" s="168"/>
      <c r="J2" s="168"/>
      <c r="K2" s="168"/>
      <c r="L2" s="871" t="s">
        <v>12</v>
      </c>
      <c r="M2" s="873" t="s">
        <v>13</v>
      </c>
      <c r="N2" s="873" t="s">
        <v>126</v>
      </c>
      <c r="O2" s="873" t="s">
        <v>127</v>
      </c>
      <c r="P2" s="873" t="s">
        <v>128</v>
      </c>
      <c r="Q2" s="930" t="s">
        <v>129</v>
      </c>
      <c r="R2" s="875" t="s">
        <v>26</v>
      </c>
      <c r="S2" s="876"/>
      <c r="T2" s="936"/>
      <c r="U2" s="937"/>
      <c r="V2" s="1"/>
      <c r="W2" s="888" t="s">
        <v>125</v>
      </c>
      <c r="X2" s="889" t="s">
        <v>130</v>
      </c>
      <c r="Y2" s="889" t="s">
        <v>131</v>
      </c>
      <c r="Z2" s="2"/>
      <c r="AA2" s="897" t="s">
        <v>132</v>
      </c>
      <c r="AB2" s="895" t="s">
        <v>135</v>
      </c>
      <c r="AC2" s="896" t="s">
        <v>134</v>
      </c>
      <c r="AD2" s="898" t="s">
        <v>137</v>
      </c>
      <c r="AE2" s="899" t="s">
        <v>139</v>
      </c>
      <c r="AF2" s="2"/>
      <c r="AG2" s="897" t="s">
        <v>132</v>
      </c>
      <c r="AH2" s="895" t="s">
        <v>140</v>
      </c>
      <c r="AI2" s="896" t="s">
        <v>134</v>
      </c>
      <c r="AJ2" s="898" t="s">
        <v>137</v>
      </c>
      <c r="AK2" s="971" t="s">
        <v>139</v>
      </c>
      <c r="AL2" s="111"/>
      <c r="AM2" s="868" t="s">
        <v>120</v>
      </c>
      <c r="AN2" s="516"/>
      <c r="AO2" s="880" t="s">
        <v>97</v>
      </c>
      <c r="AP2" s="881"/>
      <c r="AQ2" s="881"/>
      <c r="AR2" s="881"/>
      <c r="AS2" s="882"/>
      <c r="AT2" s="517"/>
      <c r="AU2" s="964" t="s">
        <v>113</v>
      </c>
      <c r="AV2" s="965"/>
      <c r="AW2" s="965"/>
      <c r="AX2" s="965"/>
      <c r="AY2" s="966"/>
      <c r="AZ2" s="517"/>
      <c r="BA2" s="877" t="s">
        <v>118</v>
      </c>
      <c r="BB2" s="878"/>
      <c r="BC2" s="878"/>
      <c r="BD2" s="879"/>
      <c r="BE2" s="518"/>
      <c r="BF2" s="890" t="s">
        <v>106</v>
      </c>
      <c r="BG2" s="891"/>
      <c r="BH2" s="891"/>
      <c r="BI2" s="892"/>
      <c r="BJ2" s="570"/>
      <c r="BK2" s="518"/>
      <c r="BL2" s="518"/>
      <c r="BM2" s="520"/>
      <c r="BR2" s="885" t="s">
        <v>210</v>
      </c>
      <c r="BS2" s="886"/>
    </row>
    <row r="3" spans="1:71" ht="19.5" customHeight="1" thickBot="1" x14ac:dyDescent="0.25">
      <c r="A3" s="837" t="s">
        <v>153</v>
      </c>
      <c r="B3" s="838"/>
      <c r="C3" s="838"/>
      <c r="D3" s="838"/>
      <c r="E3" s="838"/>
      <c r="F3" s="839"/>
      <c r="G3" s="167"/>
      <c r="H3" s="167"/>
      <c r="I3" s="168"/>
      <c r="J3" s="168"/>
      <c r="K3" s="168"/>
      <c r="L3" s="872"/>
      <c r="M3" s="874"/>
      <c r="N3" s="874"/>
      <c r="O3" s="874"/>
      <c r="P3" s="874"/>
      <c r="Q3" s="931"/>
      <c r="R3" s="3" t="s">
        <v>4</v>
      </c>
      <c r="S3" s="4" t="s">
        <v>5</v>
      </c>
      <c r="T3" s="932" t="s">
        <v>6</v>
      </c>
      <c r="U3" s="933"/>
      <c r="W3" s="888"/>
      <c r="X3" s="889"/>
      <c r="Y3" s="889"/>
      <c r="Z3" s="2"/>
      <c r="AA3" s="897"/>
      <c r="AB3" s="895"/>
      <c r="AC3" s="896"/>
      <c r="AD3" s="898"/>
      <c r="AE3" s="899"/>
      <c r="AF3" s="2"/>
      <c r="AG3" s="897"/>
      <c r="AH3" s="895"/>
      <c r="AI3" s="896"/>
      <c r="AJ3" s="898"/>
      <c r="AK3" s="971"/>
      <c r="AL3" s="111"/>
      <c r="AM3" s="869"/>
      <c r="AN3" s="52"/>
      <c r="AO3" s="867" t="s">
        <v>98</v>
      </c>
      <c r="AP3" s="870" t="s">
        <v>99</v>
      </c>
      <c r="AQ3" s="870" t="s">
        <v>100</v>
      </c>
      <c r="AR3" s="870" t="s">
        <v>101</v>
      </c>
      <c r="AS3" s="908" t="s">
        <v>102</v>
      </c>
      <c r="AT3" s="48"/>
      <c r="AU3" s="867" t="s">
        <v>98</v>
      </c>
      <c r="AV3" s="910" t="s">
        <v>103</v>
      </c>
      <c r="AW3" s="910"/>
      <c r="AX3" s="865" t="s">
        <v>104</v>
      </c>
      <c r="AY3" s="866" t="s">
        <v>105</v>
      </c>
      <c r="AZ3" s="47"/>
      <c r="BA3" s="905" t="s">
        <v>99</v>
      </c>
      <c r="BB3" s="906" t="s">
        <v>111</v>
      </c>
      <c r="BC3" s="909" t="s">
        <v>101</v>
      </c>
      <c r="BD3" s="907" t="s">
        <v>102</v>
      </c>
      <c r="BE3" s="2"/>
      <c r="BF3" s="904" t="s">
        <v>101</v>
      </c>
      <c r="BG3" s="887" t="s">
        <v>102</v>
      </c>
      <c r="BH3" s="59" t="s">
        <v>107</v>
      </c>
      <c r="BI3" s="127"/>
      <c r="BJ3" s="59"/>
      <c r="BK3" s="2"/>
      <c r="BL3" s="848" t="s">
        <v>112</v>
      </c>
      <c r="BM3" s="893" t="s">
        <v>119</v>
      </c>
      <c r="BN3" s="119"/>
      <c r="BO3" s="848" t="s">
        <v>228</v>
      </c>
      <c r="BP3" s="850" t="s">
        <v>229</v>
      </c>
      <c r="BR3" s="883" t="s">
        <v>123</v>
      </c>
      <c r="BS3" s="884"/>
    </row>
    <row r="4" spans="1:71" ht="20.100000000000001" customHeight="1" x14ac:dyDescent="0.35">
      <c r="A4" s="169" t="s">
        <v>84</v>
      </c>
      <c r="B4" s="170">
        <f>+'Input Page'!D32</f>
        <v>54.936</v>
      </c>
      <c r="C4" s="171">
        <f>+'Input Page'!E32</f>
        <v>9.9999999999999992E-25</v>
      </c>
      <c r="D4" s="171">
        <f>+'Input Page'!F32</f>
        <v>2.74</v>
      </c>
      <c r="E4" s="170">
        <f>+'Input Page'!G32</f>
        <v>-150.52464000000001</v>
      </c>
      <c r="F4" s="172">
        <f>+'Input Page'!H32</f>
        <v>0</v>
      </c>
      <c r="G4" s="167"/>
      <c r="H4" s="167"/>
      <c r="I4" s="168"/>
      <c r="J4" s="168"/>
      <c r="K4" s="168"/>
      <c r="L4" s="872"/>
      <c r="M4" s="874"/>
      <c r="N4" s="874"/>
      <c r="O4" s="874"/>
      <c r="P4" s="874"/>
      <c r="Q4" s="931"/>
      <c r="R4" s="3" t="s">
        <v>7</v>
      </c>
      <c r="S4" s="5" t="s">
        <v>8</v>
      </c>
      <c r="T4" s="3" t="s">
        <v>9</v>
      </c>
      <c r="U4" s="6" t="s">
        <v>10</v>
      </c>
      <c r="W4" s="888"/>
      <c r="X4" s="889"/>
      <c r="Y4" s="889"/>
      <c r="Z4" s="2"/>
      <c r="AA4" s="88" t="s">
        <v>144</v>
      </c>
      <c r="AB4" s="86" t="s">
        <v>133</v>
      </c>
      <c r="AC4" s="88" t="s">
        <v>136</v>
      </c>
      <c r="AD4" s="88" t="s">
        <v>138</v>
      </c>
      <c r="AE4" s="88" t="s">
        <v>143</v>
      </c>
      <c r="AF4" s="2"/>
      <c r="AG4" s="88" t="s">
        <v>145</v>
      </c>
      <c r="AH4" s="86" t="s">
        <v>133</v>
      </c>
      <c r="AI4" s="88" t="s">
        <v>136</v>
      </c>
      <c r="AJ4" s="88" t="s">
        <v>138</v>
      </c>
      <c r="AK4" s="548" t="s">
        <v>143</v>
      </c>
      <c r="AL4" s="112"/>
      <c r="AM4" s="869"/>
      <c r="AN4" s="52"/>
      <c r="AO4" s="867"/>
      <c r="AP4" s="870"/>
      <c r="AQ4" s="870"/>
      <c r="AR4" s="870"/>
      <c r="AS4" s="908"/>
      <c r="AT4" s="49"/>
      <c r="AU4" s="867"/>
      <c r="AV4" s="967" t="s">
        <v>99</v>
      </c>
      <c r="AW4" s="967" t="s">
        <v>100</v>
      </c>
      <c r="AX4" s="865"/>
      <c r="AY4" s="866"/>
      <c r="AZ4" s="47"/>
      <c r="BA4" s="905"/>
      <c r="BB4" s="906"/>
      <c r="BC4" s="909"/>
      <c r="BD4" s="907"/>
      <c r="BE4" s="2"/>
      <c r="BF4" s="904"/>
      <c r="BG4" s="887"/>
      <c r="BH4" s="900" t="s">
        <v>108</v>
      </c>
      <c r="BI4" s="902" t="s">
        <v>109</v>
      </c>
      <c r="BJ4" s="887" t="s">
        <v>124</v>
      </c>
      <c r="BK4" s="2"/>
      <c r="BL4" s="849"/>
      <c r="BM4" s="894"/>
      <c r="BN4" s="119"/>
      <c r="BO4" s="849"/>
      <c r="BP4" s="851"/>
      <c r="BR4" s="883"/>
      <c r="BS4" s="884"/>
    </row>
    <row r="5" spans="1:71" ht="20.100000000000001" customHeight="1" thickBot="1" x14ac:dyDescent="0.25">
      <c r="A5" s="630" t="s">
        <v>236</v>
      </c>
      <c r="B5" s="173">
        <f>+'Input Page'!D34</f>
        <v>70.141499999999994</v>
      </c>
      <c r="C5" s="174">
        <f>+'Input Page'!E34</f>
        <v>-0.30069930069930073</v>
      </c>
      <c r="D5" s="174">
        <f>+'Input Page'!F34</f>
        <v>3.4671328671328676</v>
      </c>
      <c r="E5" s="173">
        <f>+'Input Page'!G34</f>
        <v>-243.18990000000002</v>
      </c>
      <c r="F5" s="175">
        <f>+'Input Page'!H34</f>
        <v>-21.0915</v>
      </c>
      <c r="G5" s="167"/>
      <c r="H5" s="167"/>
      <c r="I5" s="176"/>
      <c r="J5" s="176"/>
      <c r="K5" s="176"/>
      <c r="L5" s="872"/>
      <c r="M5" s="874"/>
      <c r="N5" s="874"/>
      <c r="O5" s="874"/>
      <c r="P5" s="874"/>
      <c r="Q5" s="931"/>
      <c r="R5" s="81"/>
      <c r="S5" s="82"/>
      <c r="T5" s="83"/>
      <c r="U5" s="6"/>
      <c r="W5" s="888"/>
      <c r="X5" s="889"/>
      <c r="Y5" s="889"/>
      <c r="Z5" s="2"/>
      <c r="AA5" s="88" t="s">
        <v>146</v>
      </c>
      <c r="AB5" s="87" t="s">
        <v>7</v>
      </c>
      <c r="AC5" s="86" t="s">
        <v>7</v>
      </c>
      <c r="AD5" s="88" t="s">
        <v>7</v>
      </c>
      <c r="AE5" s="88" t="s">
        <v>142</v>
      </c>
      <c r="AF5" s="2"/>
      <c r="AG5" s="88" t="s">
        <v>146</v>
      </c>
      <c r="AH5" s="87" t="s">
        <v>7</v>
      </c>
      <c r="AI5" s="86" t="s">
        <v>7</v>
      </c>
      <c r="AJ5" s="88" t="s">
        <v>7</v>
      </c>
      <c r="AK5" s="548" t="s">
        <v>142</v>
      </c>
      <c r="AL5" s="112"/>
      <c r="AM5" s="869"/>
      <c r="AN5" s="52"/>
      <c r="AO5" s="867"/>
      <c r="AP5" s="870"/>
      <c r="AQ5" s="870"/>
      <c r="AR5" s="870"/>
      <c r="AS5" s="908"/>
      <c r="AT5" s="48"/>
      <c r="AU5" s="867"/>
      <c r="AV5" s="968"/>
      <c r="AW5" s="968"/>
      <c r="AX5" s="865"/>
      <c r="AY5" s="866"/>
      <c r="AZ5" s="47"/>
      <c r="BA5" s="905"/>
      <c r="BB5" s="906"/>
      <c r="BC5" s="909"/>
      <c r="BD5" s="907"/>
      <c r="BE5" s="2"/>
      <c r="BF5" s="904"/>
      <c r="BG5" s="887"/>
      <c r="BH5" s="901"/>
      <c r="BI5" s="903"/>
      <c r="BJ5" s="887"/>
      <c r="BK5" s="2"/>
      <c r="BL5" s="849"/>
      <c r="BM5" s="894"/>
      <c r="BN5" s="119"/>
      <c r="BO5" s="849"/>
      <c r="BP5" s="851"/>
      <c r="BR5" s="507" t="s">
        <v>121</v>
      </c>
      <c r="BS5" s="512" t="s">
        <v>122</v>
      </c>
    </row>
    <row r="6" spans="1:71" ht="20.100000000000001" customHeight="1" x14ac:dyDescent="0.25">
      <c r="A6" s="177" t="s">
        <v>83</v>
      </c>
      <c r="B6" s="178">
        <f>+'Input Page'!D35</f>
        <v>39.24</v>
      </c>
      <c r="C6" s="179">
        <f>+'Input Page'!E35</f>
        <v>9.9999999999999992E-25</v>
      </c>
      <c r="D6" s="179">
        <f>+'Input Page'!F35</f>
        <v>-2.4500000000000002</v>
      </c>
      <c r="E6" s="178">
        <f>+'Input Page'!G35</f>
        <v>96.138000000000005</v>
      </c>
      <c r="F6" s="180">
        <f>+'Input Page'!H35</f>
        <v>0</v>
      </c>
      <c r="G6" s="817" t="s">
        <v>90</v>
      </c>
      <c r="H6" s="921" t="s">
        <v>89</v>
      </c>
      <c r="I6" s="181"/>
      <c r="J6" s="182"/>
      <c r="K6" s="176"/>
      <c r="L6" s="412">
        <v>0</v>
      </c>
      <c r="M6" s="7">
        <f t="shared" ref="M6:M29" si="0">+IF(ABS(BI6)&gt;$I$26/2,"ERROR",IF(ABS(BI6)&gt;$I$26/6,$B$27/(3*($I$26/2-ABS(BI6))*2*$I$27),$B$27/(2*$I$26*$I$27)))</f>
        <v>70.640965615401896</v>
      </c>
      <c r="N6" s="7">
        <f t="shared" ref="N6:N29" si="1">+((($I$28/2)-$BH6)*Y6*2)/$I$28</f>
        <v>127.85184760982825</v>
      </c>
      <c r="O6" s="7">
        <f t="shared" ref="O6:O29" si="2">+((($I$28/2)-$BH6)*X6*2)/$I$28</f>
        <v>18.217980569333964</v>
      </c>
      <c r="P6" s="7">
        <f t="shared" ref="P6:P29" si="3">+(BH6+$I$28/2)*Y6*2/$I$28</f>
        <v>119.47035666616455</v>
      </c>
      <c r="Q6" s="8">
        <f t="shared" ref="Q6:Q29" si="4">+((BH6+$I$28/2)*X6*2)/$I$28</f>
        <v>17.023677616280853</v>
      </c>
      <c r="R6" s="77">
        <f>+IF(N6&gt;P6,AB6,AH6)</f>
        <v>0.47710465387779066</v>
      </c>
      <c r="S6" s="78">
        <f>+IF(N6&gt;P6,AC6,AI6)</f>
        <v>3.8140000000000001</v>
      </c>
      <c r="T6" s="80">
        <f>+IF(N6&gt;P6,AD6,AJ6)</f>
        <v>2.8597906922444185</v>
      </c>
      <c r="U6" s="79">
        <f>+MAX(AE6,AK6)</f>
        <v>97.404038377034851</v>
      </c>
      <c r="W6" s="549" t="str">
        <f>+IF(BI6&lt;0,"Max @ Rear","Max @ Front")</f>
        <v>Max @ Front</v>
      </c>
      <c r="X6" s="76">
        <f>+IF(ABS(BI6)&gt;$I$26/2,"ERROR",IF(ABS(BH6)&gt;$I$28/2,"ERROR",IF(ABS(BI6)&lt;$I$26/6,($B$27/(2*$I$27*$I$26)*(1-(6*ABS(BI6)/$I$26))),0)))</f>
        <v>17.620829092807409</v>
      </c>
      <c r="Y6" s="76">
        <f>+IF(ABS(BI6)&gt;$I$26/2,"ERROR",IF(ABS(BH6)&gt;$I$28/2,"ERROR",IF(ABS(BI6)&lt;$I$26/6,($B$27/(2*$I$27*$I$26)*(1+(6*ABS(BI6)/$I$26))),($B$27/(3*$I$27*($I$26/2-ABS(BI6)))))))</f>
        <v>123.66110213799639</v>
      </c>
      <c r="Z6" s="2"/>
      <c r="AA6" s="115">
        <f t="shared" ref="AA6:AA30" si="5">+(($I$28/2-BH6)*$B$27)/($I$28)</f>
        <v>194.98861363636362</v>
      </c>
      <c r="AB6" s="90">
        <f>+BI6</f>
        <v>0.47710465387779066</v>
      </c>
      <c r="AC6" s="91">
        <f t="shared" ref="AC6:AC30" si="6">+IF(O6&gt;0,$I$26,AA6/(N6*$I$27*0.5))</f>
        <v>3.8140000000000001</v>
      </c>
      <c r="AD6" s="92">
        <f t="shared" ref="AD6:AD30" si="7">+($I$26/2-ABS(AB6))*2</f>
        <v>2.8597906922444185</v>
      </c>
      <c r="AE6" s="43">
        <f t="shared" ref="AE6:AE30" si="8">+IF(O6&gt;0,((O6*$I$26)+((N6-O6)*$I$26/2))/AD6,3*N6/4)</f>
        <v>97.404038377034851</v>
      </c>
      <c r="AF6" s="2"/>
      <c r="AG6" s="89">
        <f t="shared" ref="AG6:AG30" si="9">+$B$27-AA6</f>
        <v>182.20588636363632</v>
      </c>
      <c r="AH6" s="90">
        <f>+BI6</f>
        <v>0.47710465387779066</v>
      </c>
      <c r="AI6" s="91">
        <f t="shared" ref="AI6:AI30" si="10">+IF(O6&gt;0,$I$26,AA6/(N6*$I$27*0.5))</f>
        <v>3.8140000000000001</v>
      </c>
      <c r="AJ6" s="92">
        <f t="shared" ref="AJ6:AJ30" si="11">+($I$26/2-ABS(AH6))*2</f>
        <v>2.8597906922444185</v>
      </c>
      <c r="AK6" s="550">
        <f t="shared" ref="AK6:AK30" si="12">+IF(Q6&gt;0,((Q6*$I$26)+((P6-Q6)*$I$26/2))/AJ6,3*P6/4)</f>
        <v>91.018592403466968</v>
      </c>
      <c r="AL6" s="42"/>
      <c r="AM6" s="521">
        <f t="shared" ref="AM6:AM29" si="13">+L6</f>
        <v>0</v>
      </c>
      <c r="AN6" s="522"/>
      <c r="AO6" s="60">
        <f>+B24</f>
        <v>98.1</v>
      </c>
      <c r="AP6" s="74">
        <f>+C24</f>
        <v>0</v>
      </c>
      <c r="AQ6" s="74">
        <f>+D24</f>
        <v>0</v>
      </c>
      <c r="AR6" s="61">
        <f>+E24</f>
        <v>0</v>
      </c>
      <c r="AS6" s="62">
        <f>+F24</f>
        <v>0</v>
      </c>
      <c r="AT6" s="67"/>
      <c r="AU6" s="63">
        <f t="shared" ref="AU6:AU30" si="14">+$B$16</f>
        <v>279.09449999999998</v>
      </c>
      <c r="AV6" s="64">
        <f t="shared" ref="AV6:AV30" si="15">+$C$16</f>
        <v>-7.5571177504393683E-2</v>
      </c>
      <c r="AW6" s="64">
        <f t="shared" ref="AW6:AW30" si="16">+$D$16</f>
        <v>0.64480400497718982</v>
      </c>
      <c r="AX6" s="68">
        <f>+DEGREES(ATAN(AV6/AW6))</f>
        <v>-6.6845835853794027</v>
      </c>
      <c r="AY6" s="72">
        <f>+(AV6^2+AW6^2)^0.5</f>
        <v>0.64921738093186043</v>
      </c>
      <c r="AZ6" s="523"/>
      <c r="BA6" s="65">
        <f>+AY6*(SIN(RADIANS(AX6+AM6)))</f>
        <v>-7.5571177504393683E-2</v>
      </c>
      <c r="BB6" s="66">
        <f>+AY6*(COS(RADIANS(AX6+AM6)))</f>
        <v>0.64480400497718982</v>
      </c>
      <c r="BC6" s="117">
        <f>+BB6*AU6*-1</f>
        <v>-179.96125136710629</v>
      </c>
      <c r="BD6" s="62">
        <f>+BA6*AU6</f>
        <v>-21.0915</v>
      </c>
      <c r="BE6" s="67"/>
      <c r="BF6" s="60">
        <f>+BC6+AR6</f>
        <v>-179.96125136710629</v>
      </c>
      <c r="BG6" s="61">
        <f>+BD6+AS6</f>
        <v>-21.0915</v>
      </c>
      <c r="BH6" s="116">
        <f>+IF(BG6=0,1E-24/(AO6+AU6),(BG6/(AO6+AU6)))</f>
        <v>-5.5916775032509761E-2</v>
      </c>
      <c r="BI6" s="128">
        <f>+IF(BF6=0,1E-24/(AO6+AU6)*-1,BF6/(AO6+AU6)*-1)</f>
        <v>0.47710465387779066</v>
      </c>
      <c r="BJ6" s="66" t="str">
        <f t="shared" ref="BJ6:BJ30" si="17">+IF(ABS(BI6)&gt;($I$26/6),"yes","no")</f>
        <v>no</v>
      </c>
      <c r="BK6" s="2"/>
      <c r="BL6" s="71">
        <f>+(BF6^2+BG6^2)^0.5</f>
        <v>181.19300032248714</v>
      </c>
      <c r="BM6" s="524">
        <f>+DEGREES(ATAN(BH6/BI6))</f>
        <v>-6.6845835853794027</v>
      </c>
      <c r="BN6" s="120"/>
      <c r="BO6" s="577">
        <f>+ABS(BH6/($I$28/2))</f>
        <v>3.3888954565157434E-2</v>
      </c>
      <c r="BP6" s="578">
        <f>+ABS(BI6)/($I$26/2)</f>
        <v>0.25018597476549065</v>
      </c>
      <c r="BR6" s="507" t="str">
        <f>+IF(ABS(BI6)&gt;$I$26/2,"YES-ERROR","NO-OK")</f>
        <v>NO-OK</v>
      </c>
      <c r="BS6" s="512" t="str">
        <f>+IF(ABS(BH6)&gt;$I$28/2,"YES-ERROR","NO-OK")</f>
        <v>NO-OK</v>
      </c>
    </row>
    <row r="7" spans="1:71" ht="20.100000000000001" customHeight="1" x14ac:dyDescent="0.25">
      <c r="A7" s="183" t="s">
        <v>85</v>
      </c>
      <c r="B7" s="184">
        <f>+'Input Page'!D36</f>
        <v>9.9999999999999992E-25</v>
      </c>
      <c r="C7" s="185">
        <f>+'Input Page'!E36</f>
        <v>9.9999999999999992E-25</v>
      </c>
      <c r="D7" s="185">
        <f>+'Input Page'!F36</f>
        <v>9.9999999999999992E-25</v>
      </c>
      <c r="E7" s="184">
        <f>+'Input Page'!G36</f>
        <v>0</v>
      </c>
      <c r="F7" s="186">
        <f>+'Input Page'!H36</f>
        <v>0</v>
      </c>
      <c r="G7" s="818"/>
      <c r="H7" s="922"/>
      <c r="I7" s="181"/>
      <c r="J7" s="182"/>
      <c r="K7" s="176"/>
      <c r="L7" s="413">
        <f>+IF('Input Page'!$G$68="YES",Other!L6+15,0)</f>
        <v>15</v>
      </c>
      <c r="M7" s="9">
        <f t="shared" si="0"/>
        <v>70.640965615401896</v>
      </c>
      <c r="N7" s="9">
        <f t="shared" si="1"/>
        <v>118.26444887783073</v>
      </c>
      <c r="O7" s="9">
        <f t="shared" si="2"/>
        <v>17.068886800675809</v>
      </c>
      <c r="P7" s="9">
        <f t="shared" si="3"/>
        <v>128.66110940588834</v>
      </c>
      <c r="Q7" s="10">
        <f t="shared" si="4"/>
        <v>18.569417377212705</v>
      </c>
      <c r="R7" s="11">
        <f t="shared" ref="R7:R29" si="18">+IF(N7&gt;P7,AB7,AH7)</f>
        <v>0.47532003334239159</v>
      </c>
      <c r="S7" s="12">
        <f t="shared" ref="S7:S29" si="19">+IF(N7&gt;P7,AC7,AI7)</f>
        <v>3.8140000000000001</v>
      </c>
      <c r="T7" s="13">
        <f t="shared" ref="T7:T29" si="20">+IF(N7&gt;P7,AD7,AJ7)</f>
        <v>2.8633599333152171</v>
      </c>
      <c r="U7" s="14">
        <f t="shared" ref="U7:U29" si="21">+MAX(AE7,AK7)</f>
        <v>98.055648299268455</v>
      </c>
      <c r="W7" s="549" t="str">
        <f t="shared" ref="W7:W29" si="22">+IF(BI7&lt;0,"Max @ Rear","Max @ Front")</f>
        <v>Max @ Front</v>
      </c>
      <c r="X7" s="76">
        <f t="shared" ref="X7:X30" si="23">+IF(ABS(BI7)&gt;$I$26/2,"ERROR",IF(ABS(BH7)&gt;$I$28/2,"ERROR",IF(ABS(BI7)&lt;$I$26/6,($B$27/(2*$I$27*$I$26)*(1-(6*ABS(BI7)/$I$26))),0)))</f>
        <v>17.819152088944257</v>
      </c>
      <c r="Y7" s="76">
        <f t="shared" ref="Y7:Y30" si="24">+IF(ABS(BI7)&gt;$I$26/2,"ERROR",IF(ABS(BH7)&gt;$I$28/2,"ERROR",IF(ABS(BI7)&lt;$I$26/6,($B$27/(2*$I$27*$I$26)*(1+(6*ABS(BI7)/$I$26))),($B$27/(3*$I$27*($I$26/2-ABS(BI7)))))))</f>
        <v>123.46277914185953</v>
      </c>
      <c r="Z7" s="2"/>
      <c r="AA7" s="89">
        <f t="shared" si="5"/>
        <v>180.65646979723837</v>
      </c>
      <c r="AB7" s="90">
        <f t="shared" ref="AB7:AB30" si="25">+BI7</f>
        <v>0.47532003334239159</v>
      </c>
      <c r="AC7" s="91">
        <f t="shared" si="6"/>
        <v>3.8140000000000001</v>
      </c>
      <c r="AD7" s="92">
        <f t="shared" si="7"/>
        <v>2.8633599333152171</v>
      </c>
      <c r="AE7" s="43">
        <f t="shared" si="8"/>
        <v>90.132109531931761</v>
      </c>
      <c r="AF7" s="2"/>
      <c r="AG7" s="89">
        <f t="shared" si="9"/>
        <v>196.53803020276158</v>
      </c>
      <c r="AH7" s="90">
        <f t="shared" ref="AH7:AH30" si="26">+BI7</f>
        <v>0.47532003334239159</v>
      </c>
      <c r="AI7" s="91">
        <f t="shared" si="10"/>
        <v>3.8140000000000001</v>
      </c>
      <c r="AJ7" s="92">
        <f t="shared" si="11"/>
        <v>2.8633599333152171</v>
      </c>
      <c r="AK7" s="550">
        <f t="shared" si="12"/>
        <v>98.055648299268455</v>
      </c>
      <c r="AL7" s="42"/>
      <c r="AM7" s="525">
        <f t="shared" si="13"/>
        <v>15</v>
      </c>
      <c r="AN7" s="526"/>
      <c r="AO7" s="54">
        <f>+AO$6</f>
        <v>98.1</v>
      </c>
      <c r="AP7" s="75">
        <f t="shared" ref="AP7:AS22" si="27">+AP$6</f>
        <v>0</v>
      </c>
      <c r="AQ7" s="75">
        <f t="shared" si="27"/>
        <v>0</v>
      </c>
      <c r="AR7" s="53">
        <f t="shared" si="27"/>
        <v>0</v>
      </c>
      <c r="AS7" s="55">
        <f t="shared" si="27"/>
        <v>0</v>
      </c>
      <c r="AT7" s="2"/>
      <c r="AU7" s="51">
        <f t="shared" si="14"/>
        <v>279.09449999999998</v>
      </c>
      <c r="AV7" s="50">
        <f t="shared" si="15"/>
        <v>-7.5571177504393683E-2</v>
      </c>
      <c r="AW7" s="50">
        <f t="shared" si="16"/>
        <v>0.64480400497718982</v>
      </c>
      <c r="AX7" s="69">
        <f t="shared" ref="AX7:AX30" si="28">+DEGREES(ATAN(AV7/AW7))</f>
        <v>-6.6845835853794027</v>
      </c>
      <c r="AY7" s="73">
        <f t="shared" ref="AY7:AY30" si="29">+(AV7^2+AW7^2)^0.5</f>
        <v>0.64921738093186043</v>
      </c>
      <c r="AZ7" s="527"/>
      <c r="BA7" s="58">
        <f t="shared" ref="BA7:BA30" si="30">+AY7*(SIN(RADIANS(AX7+AM7)))</f>
        <v>9.3891404771907966E-2</v>
      </c>
      <c r="BB7" s="57">
        <f t="shared" ref="BB7:BB30" si="31">+AY7*(COS(RADIANS(AX7+AM7)))</f>
        <v>0.64239210130105284</v>
      </c>
      <c r="BC7" s="53">
        <f t="shared" ref="BC7:BC30" si="32">+BB7*AU7*-1</f>
        <v>-179.28810231656669</v>
      </c>
      <c r="BD7" s="55">
        <f t="shared" ref="BD7:BD30" si="33">+BA7*AU7</f>
        <v>26.204574669113267</v>
      </c>
      <c r="BE7" s="2"/>
      <c r="BF7" s="54">
        <f t="shared" ref="BF7:BG30" si="34">+BC7+AR7</f>
        <v>-179.28810231656669</v>
      </c>
      <c r="BG7" s="53">
        <f t="shared" si="34"/>
        <v>26.204574669113267</v>
      </c>
      <c r="BH7" s="57">
        <f t="shared" ref="BH7:BH30" si="35">+IF(BG7=0,1E-24/(AO7+AU7),(BG7/(AO7+AU7)))</f>
        <v>6.9472313803921507E-2</v>
      </c>
      <c r="BI7" s="129">
        <f t="shared" ref="BI7:BI30" si="36">+IF(BF7=0,1E-24/(AO7+AU7)*-1,BF7/(AO7+AU7)*-1)</f>
        <v>0.47532003334239159</v>
      </c>
      <c r="BJ7" s="66" t="str">
        <f t="shared" si="17"/>
        <v>no</v>
      </c>
      <c r="BK7" s="2"/>
      <c r="BL7" s="70">
        <f t="shared" ref="BL7:BL30" si="37">+(BF7^2+BG7^2)^0.5</f>
        <v>181.19300032248714</v>
      </c>
      <c r="BM7" s="528">
        <f t="shared" ref="BM7:BM30" si="38">+DEGREES(ATAN(BH7/BI7))</f>
        <v>8.3154164146205947</v>
      </c>
      <c r="BN7" s="121"/>
      <c r="BO7" s="577">
        <f t="shared" ref="BO7:BO30" si="39">+ABS(BH7/($I$28/2))</f>
        <v>4.2104432608437277E-2</v>
      </c>
      <c r="BP7" s="578">
        <f t="shared" ref="BP7:BP30" si="40">+ABS(BI7)/($I$26/2)</f>
        <v>0.24925014858017389</v>
      </c>
      <c r="BR7" s="507" t="str">
        <f t="shared" ref="BR7:BR30" si="41">+IF(ABS(BI7)&gt;$I$26/2,"YES-ERROR","NO-OK")</f>
        <v>NO-OK</v>
      </c>
      <c r="BS7" s="512" t="str">
        <f t="shared" ref="BS7:BS30" si="42">+IF(ABS(BH7)&gt;$I$28/2,"YES-ERROR","NO-OK")</f>
        <v>NO-OK</v>
      </c>
    </row>
    <row r="8" spans="1:71" ht="19.5" customHeight="1" thickBot="1" x14ac:dyDescent="0.3">
      <c r="A8" s="187" t="s">
        <v>214</v>
      </c>
      <c r="B8" s="188">
        <f>+'Input Page'!D33</f>
        <v>114.777</v>
      </c>
      <c r="C8" s="189">
        <f>+'Input Page'!E33</f>
        <v>9.9999999999999992E-25</v>
      </c>
      <c r="D8" s="189">
        <f>+'Input Page'!F33</f>
        <v>-1.0247287229400814</v>
      </c>
      <c r="E8" s="188">
        <f>+'Input Page'!G33</f>
        <v>117.61528863289372</v>
      </c>
      <c r="F8" s="190">
        <f>+'Input Page'!H33</f>
        <v>0</v>
      </c>
      <c r="G8" s="191"/>
      <c r="H8" s="192"/>
      <c r="I8" s="182"/>
      <c r="J8" s="182"/>
      <c r="K8" s="176"/>
      <c r="L8" s="413">
        <f>+IF('Input Page'!$G$68="YES",Other!L7+15,0)</f>
        <v>30</v>
      </c>
      <c r="M8" s="9">
        <f t="shared" si="0"/>
        <v>70.640965615401896</v>
      </c>
      <c r="N8" s="9">
        <f t="shared" si="1"/>
        <v>105.8759520334324</v>
      </c>
      <c r="O8" s="9">
        <f t="shared" si="2"/>
        <v>19.126278100788589</v>
      </c>
      <c r="P8" s="9">
        <f t="shared" si="3"/>
        <v>133.45352165870506</v>
      </c>
      <c r="Q8" s="10">
        <f t="shared" si="4"/>
        <v>24.108110668681533</v>
      </c>
      <c r="R8" s="11">
        <f t="shared" si="18"/>
        <v>0.44114313803820338</v>
      </c>
      <c r="S8" s="12">
        <f t="shared" si="19"/>
        <v>3.8140000000000001</v>
      </c>
      <c r="T8" s="13">
        <f t="shared" si="20"/>
        <v>2.9317137239235933</v>
      </c>
      <c r="U8" s="14">
        <f t="shared" si="21"/>
        <v>102.48955428233249</v>
      </c>
      <c r="W8" s="549" t="str">
        <f t="shared" si="22"/>
        <v>Max @ Front</v>
      </c>
      <c r="X8" s="76">
        <f t="shared" si="23"/>
        <v>21.617194384735061</v>
      </c>
      <c r="Y8" s="76">
        <f t="shared" si="24"/>
        <v>119.66473684606873</v>
      </c>
      <c r="Z8" s="2"/>
      <c r="AA8" s="89">
        <f t="shared" si="5"/>
        <v>166.8654770061716</v>
      </c>
      <c r="AB8" s="90">
        <f t="shared" si="25"/>
        <v>0.44114313803820338</v>
      </c>
      <c r="AC8" s="91">
        <f t="shared" si="6"/>
        <v>3.8140000000000001</v>
      </c>
      <c r="AD8" s="92">
        <f t="shared" si="7"/>
        <v>2.9317137239235933</v>
      </c>
      <c r="AE8" s="43">
        <f t="shared" si="8"/>
        <v>81.310549157893192</v>
      </c>
      <c r="AF8" s="2"/>
      <c r="AG8" s="89">
        <f t="shared" si="9"/>
        <v>210.32902299382835</v>
      </c>
      <c r="AH8" s="90">
        <f t="shared" si="26"/>
        <v>0.44114313803820338</v>
      </c>
      <c r="AI8" s="91">
        <f t="shared" si="10"/>
        <v>3.8140000000000001</v>
      </c>
      <c r="AJ8" s="92">
        <f t="shared" si="11"/>
        <v>2.9317137239235933</v>
      </c>
      <c r="AK8" s="550">
        <f t="shared" si="12"/>
        <v>102.48955428233249</v>
      </c>
      <c r="AL8" s="42"/>
      <c r="AM8" s="525">
        <f t="shared" si="13"/>
        <v>30</v>
      </c>
      <c r="AN8" s="526"/>
      <c r="AO8" s="54">
        <f t="shared" ref="AO8:AS30" si="43">+AO$6</f>
        <v>98.1</v>
      </c>
      <c r="AP8" s="75">
        <f t="shared" si="27"/>
        <v>0</v>
      </c>
      <c r="AQ8" s="75">
        <f t="shared" si="27"/>
        <v>0</v>
      </c>
      <c r="AR8" s="53">
        <f t="shared" si="27"/>
        <v>0</v>
      </c>
      <c r="AS8" s="55">
        <f t="shared" si="27"/>
        <v>0</v>
      </c>
      <c r="AT8" s="2"/>
      <c r="AU8" s="51">
        <f t="shared" si="14"/>
        <v>279.09449999999998</v>
      </c>
      <c r="AV8" s="50">
        <f t="shared" si="15"/>
        <v>-7.5571177504393683E-2</v>
      </c>
      <c r="AW8" s="50">
        <f t="shared" si="16"/>
        <v>0.64480400497718982</v>
      </c>
      <c r="AX8" s="69">
        <f t="shared" si="28"/>
        <v>-6.6845835853794027</v>
      </c>
      <c r="AY8" s="73">
        <f t="shared" si="29"/>
        <v>0.64921738093186043</v>
      </c>
      <c r="AZ8" s="527"/>
      <c r="BA8" s="58">
        <f t="shared" si="30"/>
        <v>0.25695544297588685</v>
      </c>
      <c r="BB8" s="57">
        <f t="shared" si="31"/>
        <v>0.59620223752439083</v>
      </c>
      <c r="BC8" s="53">
        <f t="shared" si="32"/>
        <v>-166.39676538075108</v>
      </c>
      <c r="BD8" s="55">
        <f t="shared" si="33"/>
        <v>71.714850879633644</v>
      </c>
      <c r="BE8" s="2"/>
      <c r="BF8" s="54">
        <f t="shared" si="34"/>
        <v>-166.39676538075108</v>
      </c>
      <c r="BG8" s="53">
        <f t="shared" si="34"/>
        <v>71.714850879633644</v>
      </c>
      <c r="BH8" s="57">
        <f t="shared" si="35"/>
        <v>0.19012697926304242</v>
      </c>
      <c r="BI8" s="129">
        <f t="shared" si="36"/>
        <v>0.44114313803820338</v>
      </c>
      <c r="BJ8" s="66" t="str">
        <f t="shared" si="17"/>
        <v>no</v>
      </c>
      <c r="BK8" s="2"/>
      <c r="BL8" s="70">
        <f t="shared" si="37"/>
        <v>181.19300032248711</v>
      </c>
      <c r="BM8" s="528">
        <f t="shared" si="38"/>
        <v>23.315416414620596</v>
      </c>
      <c r="BN8" s="121"/>
      <c r="BO8" s="577">
        <f t="shared" si="39"/>
        <v>0.11522847228063178</v>
      </c>
      <c r="BP8" s="578">
        <f t="shared" si="40"/>
        <v>0.23132833667446429</v>
      </c>
      <c r="BR8" s="507" t="str">
        <f t="shared" si="41"/>
        <v>NO-OK</v>
      </c>
      <c r="BS8" s="512" t="str">
        <f t="shared" si="42"/>
        <v>NO-OK</v>
      </c>
    </row>
    <row r="9" spans="1:71" ht="19.5" customHeight="1" thickBot="1" x14ac:dyDescent="0.3">
      <c r="A9" s="193" t="s">
        <v>91</v>
      </c>
      <c r="B9" s="194">
        <f>+IF(G9&gt;0,+G9-B5,0)</f>
        <v>0</v>
      </c>
      <c r="C9" s="195">
        <f>+'Input Page'!E48</f>
        <v>-0.30069930069930073</v>
      </c>
      <c r="D9" s="195">
        <f>+'Input Page'!F48</f>
        <v>3.4671328671328676</v>
      </c>
      <c r="E9" s="196">
        <f>+B9*D9*-1</f>
        <v>0</v>
      </c>
      <c r="F9" s="197">
        <f>+B9*C9</f>
        <v>0</v>
      </c>
      <c r="G9" s="198">
        <v>0</v>
      </c>
      <c r="H9" s="199">
        <f>+'Input Page'!D48</f>
        <v>392</v>
      </c>
      <c r="I9" s="181"/>
      <c r="J9" s="181"/>
      <c r="K9" s="176"/>
      <c r="L9" s="413">
        <f>+IF('Input Page'!$G$68="YES",Other!L8+15,0)</f>
        <v>45</v>
      </c>
      <c r="M9" s="9">
        <f t="shared" si="0"/>
        <v>70.640965615401896</v>
      </c>
      <c r="N9" s="9">
        <f t="shared" si="1"/>
        <v>92.214910932631383</v>
      </c>
      <c r="O9" s="9">
        <f t="shared" si="2"/>
        <v>23.56564838355807</v>
      </c>
      <c r="P9" s="9">
        <f t="shared" si="3"/>
        <v>132.83670018040965</v>
      </c>
      <c r="Q9" s="10">
        <f t="shared" si="4"/>
        <v>33.946602965008495</v>
      </c>
      <c r="R9" s="11">
        <f t="shared" si="18"/>
        <v>0.37690306690021674</v>
      </c>
      <c r="S9" s="12">
        <f t="shared" si="19"/>
        <v>3.8140000000000001</v>
      </c>
      <c r="T9" s="13">
        <f t="shared" si="20"/>
        <v>3.0601938661995667</v>
      </c>
      <c r="U9" s="14">
        <f t="shared" si="21"/>
        <v>103.93320587015738</v>
      </c>
      <c r="W9" s="549" t="str">
        <f t="shared" si="22"/>
        <v>Max @ Front</v>
      </c>
      <c r="X9" s="76">
        <f t="shared" si="23"/>
        <v>28.756125674283279</v>
      </c>
      <c r="Y9" s="76">
        <f t="shared" si="24"/>
        <v>112.52580555652051</v>
      </c>
      <c r="Z9" s="2"/>
      <c r="AA9" s="89">
        <f t="shared" si="5"/>
        <v>154.5554686311813</v>
      </c>
      <c r="AB9" s="90">
        <f t="shared" si="25"/>
        <v>0.37690306690021674</v>
      </c>
      <c r="AC9" s="91">
        <f t="shared" si="6"/>
        <v>3.8140000000000001</v>
      </c>
      <c r="AD9" s="92">
        <f t="shared" si="7"/>
        <v>3.0601938661995667</v>
      </c>
      <c r="AE9" s="43">
        <f t="shared" si="8"/>
        <v>72.150176188077666</v>
      </c>
      <c r="AF9" s="2"/>
      <c r="AG9" s="89">
        <f t="shared" si="9"/>
        <v>222.63903136881865</v>
      </c>
      <c r="AH9" s="90">
        <f t="shared" si="26"/>
        <v>0.37690306690021674</v>
      </c>
      <c r="AI9" s="91">
        <f t="shared" si="10"/>
        <v>3.8140000000000001</v>
      </c>
      <c r="AJ9" s="92">
        <f t="shared" si="11"/>
        <v>3.0601938661995667</v>
      </c>
      <c r="AK9" s="550">
        <f t="shared" si="12"/>
        <v>103.93320587015738</v>
      </c>
      <c r="AL9" s="42"/>
      <c r="AM9" s="525">
        <f t="shared" si="13"/>
        <v>45</v>
      </c>
      <c r="AN9" s="526"/>
      <c r="AO9" s="54">
        <f t="shared" si="43"/>
        <v>98.1</v>
      </c>
      <c r="AP9" s="75">
        <f t="shared" si="27"/>
        <v>0</v>
      </c>
      <c r="AQ9" s="75">
        <f t="shared" si="27"/>
        <v>0</v>
      </c>
      <c r="AR9" s="53">
        <f t="shared" si="27"/>
        <v>0</v>
      </c>
      <c r="AS9" s="55">
        <f t="shared" si="27"/>
        <v>0</v>
      </c>
      <c r="AT9" s="2"/>
      <c r="AU9" s="51">
        <f t="shared" si="14"/>
        <v>279.09449999999998</v>
      </c>
      <c r="AV9" s="50">
        <f t="shared" si="15"/>
        <v>-7.5571177504393683E-2</v>
      </c>
      <c r="AW9" s="50">
        <f t="shared" si="16"/>
        <v>0.64480400497718982</v>
      </c>
      <c r="AX9" s="69">
        <f t="shared" si="28"/>
        <v>-6.6845835853794027</v>
      </c>
      <c r="AY9" s="73">
        <f t="shared" si="29"/>
        <v>0.64921738093186043</v>
      </c>
      <c r="AZ9" s="527"/>
      <c r="BA9" s="58">
        <f t="shared" si="30"/>
        <v>0.40250839238000624</v>
      </c>
      <c r="BB9" s="57">
        <f t="shared" si="31"/>
        <v>0.50938217653122431</v>
      </c>
      <c r="BC9" s="53">
        <f t="shared" si="32"/>
        <v>-142.16576386789379</v>
      </c>
      <c r="BD9" s="55">
        <f t="shared" si="33"/>
        <v>112.33787851710164</v>
      </c>
      <c r="BE9" s="2"/>
      <c r="BF9" s="54">
        <f t="shared" si="34"/>
        <v>-142.16576386789379</v>
      </c>
      <c r="BG9" s="53">
        <f t="shared" si="34"/>
        <v>112.33787851710164</v>
      </c>
      <c r="BH9" s="57">
        <f t="shared" si="35"/>
        <v>0.29782480528507616</v>
      </c>
      <c r="BI9" s="129">
        <f t="shared" si="36"/>
        <v>0.37690306690021674</v>
      </c>
      <c r="BJ9" s="66" t="str">
        <f t="shared" si="17"/>
        <v>no</v>
      </c>
      <c r="BK9" s="2"/>
      <c r="BL9" s="70">
        <f t="shared" si="37"/>
        <v>181.19300032248714</v>
      </c>
      <c r="BM9" s="528">
        <f t="shared" si="38"/>
        <v>38.3154164146206</v>
      </c>
      <c r="BN9" s="121"/>
      <c r="BO9" s="577">
        <f t="shared" si="39"/>
        <v>0.18049988199095526</v>
      </c>
      <c r="BP9" s="578">
        <f t="shared" si="40"/>
        <v>0.19764188091254156</v>
      </c>
      <c r="BR9" s="507" t="str">
        <f t="shared" si="41"/>
        <v>NO-OK</v>
      </c>
      <c r="BS9" s="512" t="str">
        <f t="shared" si="42"/>
        <v>NO-OK</v>
      </c>
    </row>
    <row r="10" spans="1:71" ht="20.100000000000001" customHeight="1" x14ac:dyDescent="0.25">
      <c r="A10" s="200" t="s">
        <v>92</v>
      </c>
      <c r="B10" s="201">
        <f>+IF(G10&lt;0,+G10-B5,0)</f>
        <v>0</v>
      </c>
      <c r="C10" s="202">
        <f>+'Input Page'!E49</f>
        <v>-0.30069930069930073</v>
      </c>
      <c r="D10" s="202">
        <f>+'Input Page'!F49</f>
        <v>3.4671328671328676</v>
      </c>
      <c r="E10" s="203">
        <f t="shared" ref="E10:E15" si="44">+B10*D10*-1</f>
        <v>0</v>
      </c>
      <c r="F10" s="204">
        <f t="shared" ref="F10:F15" si="45">+B10*C10</f>
        <v>0</v>
      </c>
      <c r="G10" s="205">
        <v>0</v>
      </c>
      <c r="H10" s="206">
        <f>+'Input Page'!D49</f>
        <v>-29.4</v>
      </c>
      <c r="I10" s="858" t="s">
        <v>158</v>
      </c>
      <c r="J10" s="863" t="s">
        <v>29</v>
      </c>
      <c r="K10" s="176"/>
      <c r="L10" s="413">
        <f>+IF('Input Page'!$G$68="YES",Other!L9+15,0)</f>
        <v>60</v>
      </c>
      <c r="M10" s="9">
        <f t="shared" si="0"/>
        <v>70.640965615401896</v>
      </c>
      <c r="N10" s="9">
        <f t="shared" si="1"/>
        <v>78.594177191120906</v>
      </c>
      <c r="O10" s="9">
        <f t="shared" si="2"/>
        <v>29.702587660008295</v>
      </c>
      <c r="P10" s="9">
        <f t="shared" si="3"/>
        <v>126.47080609479065</v>
      </c>
      <c r="Q10" s="10">
        <f t="shared" si="4"/>
        <v>47.796291515687727</v>
      </c>
      <c r="R10" s="11">
        <f t="shared" si="18"/>
        <v>0.28697767461474821</v>
      </c>
      <c r="S10" s="12">
        <f t="shared" si="19"/>
        <v>3.8140000000000001</v>
      </c>
      <c r="T10" s="13">
        <f t="shared" si="20"/>
        <v>3.2400446507705034</v>
      </c>
      <c r="U10" s="14">
        <f t="shared" si="21"/>
        <v>102.56875782997393</v>
      </c>
      <c r="W10" s="549" t="str">
        <f t="shared" si="22"/>
        <v>Max @ Front</v>
      </c>
      <c r="X10" s="76">
        <f t="shared" si="23"/>
        <v>38.749439587848009</v>
      </c>
      <c r="Y10" s="76">
        <f t="shared" si="24"/>
        <v>102.53249164295578</v>
      </c>
      <c r="Z10" s="2"/>
      <c r="AA10" s="89">
        <f t="shared" si="5"/>
        <v>144.56535139977237</v>
      </c>
      <c r="AB10" s="90">
        <f t="shared" si="25"/>
        <v>0.28697767461474821</v>
      </c>
      <c r="AC10" s="91">
        <f t="shared" si="6"/>
        <v>3.8140000000000001</v>
      </c>
      <c r="AD10" s="92">
        <f t="shared" si="7"/>
        <v>3.2400446507705034</v>
      </c>
      <c r="AE10" s="43">
        <f t="shared" si="8"/>
        <v>63.740458182263367</v>
      </c>
      <c r="AF10" s="2"/>
      <c r="AG10" s="89">
        <f t="shared" si="9"/>
        <v>232.62914860022758</v>
      </c>
      <c r="AH10" s="90">
        <f t="shared" si="26"/>
        <v>0.28697767461474821</v>
      </c>
      <c r="AI10" s="91">
        <f t="shared" si="10"/>
        <v>3.8140000000000001</v>
      </c>
      <c r="AJ10" s="92">
        <f t="shared" si="11"/>
        <v>3.2400446507705034</v>
      </c>
      <c r="AK10" s="550">
        <f t="shared" si="12"/>
        <v>102.56875782997393</v>
      </c>
      <c r="AL10" s="42"/>
      <c r="AM10" s="525">
        <f t="shared" si="13"/>
        <v>60</v>
      </c>
      <c r="AN10" s="526"/>
      <c r="AO10" s="54">
        <f t="shared" si="43"/>
        <v>98.1</v>
      </c>
      <c r="AP10" s="75">
        <f t="shared" si="27"/>
        <v>0</v>
      </c>
      <c r="AQ10" s="75">
        <f t="shared" si="27"/>
        <v>0</v>
      </c>
      <c r="AR10" s="53">
        <f t="shared" si="27"/>
        <v>0</v>
      </c>
      <c r="AS10" s="55">
        <f t="shared" si="27"/>
        <v>0</v>
      </c>
      <c r="AT10" s="2"/>
      <c r="AU10" s="51">
        <f t="shared" si="14"/>
        <v>279.09449999999998</v>
      </c>
      <c r="AV10" s="50">
        <f t="shared" si="15"/>
        <v>-7.5571177504393683E-2</v>
      </c>
      <c r="AW10" s="50">
        <f t="shared" si="16"/>
        <v>0.64480400497718982</v>
      </c>
      <c r="AX10" s="69">
        <f t="shared" si="28"/>
        <v>-6.6845835853794027</v>
      </c>
      <c r="AY10" s="73">
        <f t="shared" si="29"/>
        <v>0.64921738093186043</v>
      </c>
      <c r="AZ10" s="527"/>
      <c r="BA10" s="58">
        <f t="shared" si="30"/>
        <v>0.52063106001999715</v>
      </c>
      <c r="BB10" s="57">
        <f t="shared" si="31"/>
        <v>0.38784856200130291</v>
      </c>
      <c r="BC10" s="53">
        <f t="shared" si="32"/>
        <v>-108.24640048747263</v>
      </c>
      <c r="BD10" s="55">
        <f t="shared" si="33"/>
        <v>145.30526538075108</v>
      </c>
      <c r="BE10" s="2"/>
      <c r="BF10" s="54">
        <f t="shared" si="34"/>
        <v>-108.24640048747263</v>
      </c>
      <c r="BG10" s="53">
        <f t="shared" si="34"/>
        <v>145.30526538075108</v>
      </c>
      <c r="BH10" s="57">
        <f t="shared" si="35"/>
        <v>0.38522636300569363</v>
      </c>
      <c r="BI10" s="129">
        <f t="shared" si="36"/>
        <v>0.28697767461474821</v>
      </c>
      <c r="BJ10" s="66" t="str">
        <f t="shared" si="17"/>
        <v>no</v>
      </c>
      <c r="BK10" s="2"/>
      <c r="BL10" s="70">
        <f t="shared" si="37"/>
        <v>181.19300032248711</v>
      </c>
      <c r="BM10" s="528">
        <f t="shared" si="38"/>
        <v>53.3154164146206</v>
      </c>
      <c r="BN10" s="121"/>
      <c r="BO10" s="577">
        <f t="shared" si="39"/>
        <v>0.23347052303375374</v>
      </c>
      <c r="BP10" s="578">
        <f t="shared" si="40"/>
        <v>0.15048645758508034</v>
      </c>
      <c r="BR10" s="507" t="str">
        <f t="shared" si="41"/>
        <v>NO-OK</v>
      </c>
      <c r="BS10" s="512" t="str">
        <f t="shared" si="42"/>
        <v>NO-OK</v>
      </c>
    </row>
    <row r="11" spans="1:71" ht="20.100000000000001" customHeight="1" thickBot="1" x14ac:dyDescent="0.3">
      <c r="A11" s="207" t="s">
        <v>93</v>
      </c>
      <c r="B11" s="208">
        <f t="shared" ref="B11:B15" si="46">+G11</f>
        <v>0</v>
      </c>
      <c r="C11" s="209">
        <f>+'Input Page'!E50</f>
        <v>0</v>
      </c>
      <c r="D11" s="209">
        <f>+'Input Page'!F50</f>
        <v>4</v>
      </c>
      <c r="E11" s="210">
        <f t="shared" si="44"/>
        <v>0</v>
      </c>
      <c r="F11" s="211">
        <f t="shared" si="45"/>
        <v>0</v>
      </c>
      <c r="G11" s="212">
        <v>0</v>
      </c>
      <c r="H11" s="213">
        <f>+'Input Page'!D50</f>
        <v>10</v>
      </c>
      <c r="I11" s="859"/>
      <c r="J11" s="864"/>
      <c r="K11" s="176"/>
      <c r="L11" s="413">
        <f>+IF('Input Page'!$G$68="YES",Other!L10+15,0)</f>
        <v>75</v>
      </c>
      <c r="M11" s="9">
        <f t="shared" si="0"/>
        <v>70.640965615401896</v>
      </c>
      <c r="N11" s="9">
        <f t="shared" si="1"/>
        <v>65.919108621887744</v>
      </c>
      <c r="O11" s="9">
        <f t="shared" si="2"/>
        <v>37.141746342391251</v>
      </c>
      <c r="P11" s="9">
        <f t="shared" si="3"/>
        <v>114.81253724581609</v>
      </c>
      <c r="Q11" s="10">
        <f t="shared" si="4"/>
        <v>64.690470251512494</v>
      </c>
      <c r="R11" s="11">
        <f t="shared" si="18"/>
        <v>0.17749522805731541</v>
      </c>
      <c r="S11" s="12">
        <f t="shared" si="19"/>
        <v>3.8140000000000001</v>
      </c>
      <c r="T11" s="13">
        <f t="shared" si="20"/>
        <v>3.4590095438853692</v>
      </c>
      <c r="U11" s="14">
        <f t="shared" si="21"/>
        <v>98.962500957109171</v>
      </c>
      <c r="W11" s="549" t="str">
        <f t="shared" si="22"/>
        <v>Max @ Front</v>
      </c>
      <c r="X11" s="76">
        <f t="shared" si="23"/>
        <v>50.916108296951869</v>
      </c>
      <c r="Y11" s="76">
        <f t="shared" si="24"/>
        <v>90.365822933851916</v>
      </c>
      <c r="Z11" s="2"/>
      <c r="AA11" s="89">
        <f t="shared" si="5"/>
        <v>137.57593529181602</v>
      </c>
      <c r="AB11" s="90">
        <f t="shared" si="25"/>
        <v>0.17749522805731541</v>
      </c>
      <c r="AC11" s="91">
        <f t="shared" si="6"/>
        <v>3.8140000000000001</v>
      </c>
      <c r="AD11" s="92">
        <f t="shared" si="7"/>
        <v>3.4590095438853692</v>
      </c>
      <c r="AE11" s="43">
        <f t="shared" si="8"/>
        <v>56.81888064295935</v>
      </c>
      <c r="AF11" s="2"/>
      <c r="AG11" s="89">
        <f t="shared" si="9"/>
        <v>239.61856470818392</v>
      </c>
      <c r="AH11" s="90">
        <f t="shared" si="26"/>
        <v>0.17749522805731541</v>
      </c>
      <c r="AI11" s="91">
        <f t="shared" si="10"/>
        <v>3.8140000000000001</v>
      </c>
      <c r="AJ11" s="92">
        <f t="shared" si="11"/>
        <v>3.4590095438853692</v>
      </c>
      <c r="AK11" s="550">
        <f t="shared" si="12"/>
        <v>98.962500957109171</v>
      </c>
      <c r="AL11" s="42"/>
      <c r="AM11" s="525">
        <f t="shared" si="13"/>
        <v>75</v>
      </c>
      <c r="AN11" s="526"/>
      <c r="AO11" s="54">
        <f t="shared" si="43"/>
        <v>98.1</v>
      </c>
      <c r="AP11" s="75">
        <f t="shared" si="27"/>
        <v>0</v>
      </c>
      <c r="AQ11" s="75">
        <f t="shared" si="27"/>
        <v>0</v>
      </c>
      <c r="AR11" s="53">
        <f t="shared" si="27"/>
        <v>0</v>
      </c>
      <c r="AS11" s="55">
        <f t="shared" si="27"/>
        <v>0</v>
      </c>
      <c r="AT11" s="2"/>
      <c r="AU11" s="51">
        <f t="shared" si="14"/>
        <v>279.09449999999998</v>
      </c>
      <c r="AV11" s="50">
        <f t="shared" si="15"/>
        <v>-7.5571177504393683E-2</v>
      </c>
      <c r="AW11" s="50">
        <f t="shared" si="16"/>
        <v>0.64480400497718982</v>
      </c>
      <c r="AX11" s="69">
        <f t="shared" si="28"/>
        <v>-6.6845835853794027</v>
      </c>
      <c r="AY11" s="73">
        <f t="shared" si="29"/>
        <v>0.64921738093186043</v>
      </c>
      <c r="AZ11" s="527"/>
      <c r="BA11" s="58">
        <f t="shared" si="30"/>
        <v>0.60327358130313224</v>
      </c>
      <c r="BB11" s="57">
        <f t="shared" si="31"/>
        <v>0.23988370892104666</v>
      </c>
      <c r="BC11" s="53">
        <f t="shared" si="32"/>
        <v>-66.95022379946505</v>
      </c>
      <c r="BD11" s="55">
        <f t="shared" si="33"/>
        <v>168.37033853700703</v>
      </c>
      <c r="BE11" s="2"/>
      <c r="BF11" s="54">
        <f t="shared" si="34"/>
        <v>-66.95022379946505</v>
      </c>
      <c r="BG11" s="53">
        <f t="shared" si="34"/>
        <v>168.37033853700703</v>
      </c>
      <c r="BH11" s="57">
        <f t="shared" si="35"/>
        <v>0.44637538070413818</v>
      </c>
      <c r="BI11" s="129">
        <f t="shared" si="36"/>
        <v>0.17749522805731541</v>
      </c>
      <c r="BJ11" s="66" t="str">
        <f t="shared" si="17"/>
        <v>no</v>
      </c>
      <c r="BK11" s="2"/>
      <c r="BL11" s="70">
        <f t="shared" si="37"/>
        <v>181.19300032248711</v>
      </c>
      <c r="BM11" s="528">
        <f t="shared" si="38"/>
        <v>68.3154164146206</v>
      </c>
      <c r="BN11" s="121"/>
      <c r="BO11" s="577">
        <f t="shared" si="39"/>
        <v>0.27053053376008374</v>
      </c>
      <c r="BP11" s="578">
        <f t="shared" si="40"/>
        <v>9.3075630863825587E-2</v>
      </c>
      <c r="BR11" s="507" t="str">
        <f t="shared" si="41"/>
        <v>NO-OK</v>
      </c>
      <c r="BS11" s="512" t="str">
        <f t="shared" si="42"/>
        <v>NO-OK</v>
      </c>
    </row>
    <row r="12" spans="1:71" ht="20.100000000000001" customHeight="1" x14ac:dyDescent="0.25">
      <c r="A12" s="214" t="s">
        <v>74</v>
      </c>
      <c r="B12" s="215">
        <f t="shared" si="46"/>
        <v>0</v>
      </c>
      <c r="C12" s="216">
        <f>+'Input Page'!E41</f>
        <v>0</v>
      </c>
      <c r="D12" s="216">
        <f>+'Input Page'!F41</f>
        <v>2.74</v>
      </c>
      <c r="E12" s="217">
        <f t="shared" si="44"/>
        <v>0</v>
      </c>
      <c r="F12" s="218">
        <f t="shared" si="45"/>
        <v>0</v>
      </c>
      <c r="G12" s="219">
        <v>0</v>
      </c>
      <c r="H12" s="220">
        <f>+'Input Page'!D41</f>
        <v>-450</v>
      </c>
      <c r="I12" s="221">
        <f>+IF(J12=0,-1E-24,G12/J12*-1)</f>
        <v>0</v>
      </c>
      <c r="J12" s="222">
        <f>+'Input Page'!C41</f>
        <v>1.5</v>
      </c>
      <c r="K12" s="176"/>
      <c r="L12" s="413">
        <f>+IF('Input Page'!$G$68="YES",Other!L11+15,0)</f>
        <v>90</v>
      </c>
      <c r="M12" s="9">
        <f t="shared" si="0"/>
        <v>70.640965615401896</v>
      </c>
      <c r="N12" s="9">
        <f t="shared" si="1"/>
        <v>54.631999313147816</v>
      </c>
      <c r="O12" s="9">
        <f t="shared" si="2"/>
        <v>45.797648948529627</v>
      </c>
      <c r="P12" s="9">
        <f t="shared" si="3"/>
        <v>99.077876277579463</v>
      </c>
      <c r="Q12" s="10">
        <f t="shared" si="4"/>
        <v>83.056337922350679</v>
      </c>
      <c r="R12" s="11">
        <f t="shared" si="18"/>
        <v>5.5916775032509712E-2</v>
      </c>
      <c r="S12" s="12">
        <f t="shared" si="19"/>
        <v>3.8140000000000001</v>
      </c>
      <c r="T12" s="13">
        <f t="shared" si="20"/>
        <v>3.7021664499349805</v>
      </c>
      <c r="U12" s="14">
        <f t="shared" si="21"/>
        <v>93.818025519994322</v>
      </c>
      <c r="V12" s="46"/>
      <c r="W12" s="549" t="str">
        <f t="shared" si="22"/>
        <v>Max @ Front</v>
      </c>
      <c r="X12" s="76">
        <f t="shared" si="23"/>
        <v>64.426993435440153</v>
      </c>
      <c r="Y12" s="76">
        <f t="shared" si="24"/>
        <v>76.854937795363639</v>
      </c>
      <c r="Z12" s="2"/>
      <c r="AA12" s="89">
        <f t="shared" si="5"/>
        <v>134.06353746451319</v>
      </c>
      <c r="AB12" s="90">
        <f t="shared" si="25"/>
        <v>5.5916775032509712E-2</v>
      </c>
      <c r="AC12" s="91">
        <f t="shared" si="6"/>
        <v>3.8140000000000001</v>
      </c>
      <c r="AD12" s="92">
        <f t="shared" si="7"/>
        <v>3.7021664499349805</v>
      </c>
      <c r="AE12" s="43">
        <f t="shared" si="8"/>
        <v>51.731693273375761</v>
      </c>
      <c r="AF12" s="2"/>
      <c r="AG12" s="89">
        <f t="shared" si="9"/>
        <v>243.13096253548676</v>
      </c>
      <c r="AH12" s="90">
        <f t="shared" si="26"/>
        <v>5.5916775032509712E-2</v>
      </c>
      <c r="AI12" s="91">
        <f t="shared" si="10"/>
        <v>3.8140000000000001</v>
      </c>
      <c r="AJ12" s="92">
        <f t="shared" si="11"/>
        <v>3.7021664499349805</v>
      </c>
      <c r="AK12" s="550">
        <f t="shared" si="12"/>
        <v>93.818025519994322</v>
      </c>
      <c r="AL12" s="42"/>
      <c r="AM12" s="521">
        <f t="shared" si="13"/>
        <v>90</v>
      </c>
      <c r="AN12" s="522"/>
      <c r="AO12" s="60">
        <f t="shared" si="43"/>
        <v>98.1</v>
      </c>
      <c r="AP12" s="74">
        <f t="shared" si="27"/>
        <v>0</v>
      </c>
      <c r="AQ12" s="74">
        <f t="shared" si="27"/>
        <v>0</v>
      </c>
      <c r="AR12" s="61">
        <f t="shared" si="27"/>
        <v>0</v>
      </c>
      <c r="AS12" s="62">
        <f t="shared" si="27"/>
        <v>0</v>
      </c>
      <c r="AT12" s="67"/>
      <c r="AU12" s="63">
        <f t="shared" si="14"/>
        <v>279.09449999999998</v>
      </c>
      <c r="AV12" s="64">
        <f t="shared" si="15"/>
        <v>-7.5571177504393683E-2</v>
      </c>
      <c r="AW12" s="64">
        <f t="shared" si="16"/>
        <v>0.64480400497718982</v>
      </c>
      <c r="AX12" s="68">
        <f t="shared" si="28"/>
        <v>-6.6845835853794027</v>
      </c>
      <c r="AY12" s="72">
        <f t="shared" si="29"/>
        <v>0.64921738093186043</v>
      </c>
      <c r="AZ12" s="523"/>
      <c r="BA12" s="65">
        <f t="shared" si="30"/>
        <v>0.64480400497718982</v>
      </c>
      <c r="BB12" s="66">
        <f t="shared" si="31"/>
        <v>7.5571177504393613E-2</v>
      </c>
      <c r="BC12" s="61">
        <f t="shared" si="32"/>
        <v>-21.091499999999982</v>
      </c>
      <c r="BD12" s="62">
        <f t="shared" si="33"/>
        <v>179.96125136710629</v>
      </c>
      <c r="BE12" s="67"/>
      <c r="BF12" s="60">
        <f t="shared" si="34"/>
        <v>-21.091499999999982</v>
      </c>
      <c r="BG12" s="61">
        <f t="shared" si="34"/>
        <v>179.96125136710629</v>
      </c>
      <c r="BH12" s="66">
        <f t="shared" si="35"/>
        <v>0.47710465387779066</v>
      </c>
      <c r="BI12" s="128">
        <f t="shared" si="36"/>
        <v>5.5916775032509712E-2</v>
      </c>
      <c r="BJ12" s="66" t="str">
        <f t="shared" si="17"/>
        <v>no</v>
      </c>
      <c r="BK12" s="2"/>
      <c r="BL12" s="71">
        <f t="shared" si="37"/>
        <v>181.19300032248711</v>
      </c>
      <c r="BM12" s="524">
        <f t="shared" si="38"/>
        <v>83.3154164146206</v>
      </c>
      <c r="BN12" s="120"/>
      <c r="BO12" s="577">
        <f t="shared" si="39"/>
        <v>0.28915433568350951</v>
      </c>
      <c r="BP12" s="578">
        <f t="shared" si="40"/>
        <v>2.9321853713953704E-2</v>
      </c>
      <c r="BR12" s="507" t="str">
        <f t="shared" si="41"/>
        <v>NO-OK</v>
      </c>
      <c r="BS12" s="512" t="str">
        <f t="shared" si="42"/>
        <v>NO-OK</v>
      </c>
    </row>
    <row r="13" spans="1:71" ht="20.100000000000001" customHeight="1" x14ac:dyDescent="0.25">
      <c r="A13" s="223" t="s">
        <v>75</v>
      </c>
      <c r="B13" s="224">
        <f t="shared" si="46"/>
        <v>0</v>
      </c>
      <c r="C13" s="225">
        <f>+'Input Page'!E42</f>
        <v>0</v>
      </c>
      <c r="D13" s="225">
        <f>+'Input Page'!F42</f>
        <v>0</v>
      </c>
      <c r="E13" s="226">
        <f t="shared" si="44"/>
        <v>0</v>
      </c>
      <c r="F13" s="227">
        <f t="shared" si="45"/>
        <v>0</v>
      </c>
      <c r="G13" s="205">
        <v>0</v>
      </c>
      <c r="H13" s="206">
        <f>+'Input Page'!D42</f>
        <v>0</v>
      </c>
      <c r="I13" s="221">
        <f t="shared" ref="I13:I15" si="47">+IF(J13=0,-1E-24,G13/J13*-1)</f>
        <v>-9.9999999999999992E-25</v>
      </c>
      <c r="J13" s="222">
        <f>+'Input Page'!C42</f>
        <v>0</v>
      </c>
      <c r="K13" s="176"/>
      <c r="L13" s="413">
        <f>+IF('Input Page'!$G$68="YES",Other!L12+15,0)</f>
        <v>105</v>
      </c>
      <c r="M13" s="9">
        <f t="shared" si="0"/>
        <v>70.640965615401896</v>
      </c>
      <c r="N13" s="9">
        <f t="shared" si="1"/>
        <v>55.787580971552281</v>
      </c>
      <c r="O13" s="9">
        <f t="shared" si="2"/>
        <v>44.794876160279919</v>
      </c>
      <c r="P13" s="9">
        <f t="shared" si="3"/>
        <v>100.93512004628423</v>
      </c>
      <c r="Q13" s="10">
        <f t="shared" si="4"/>
        <v>81.046285283491159</v>
      </c>
      <c r="R13" s="11">
        <f t="shared" si="18"/>
        <v>-6.9472313803921534E-2</v>
      </c>
      <c r="S13" s="12">
        <f t="shared" si="19"/>
        <v>3.8140000000000001</v>
      </c>
      <c r="T13" s="13">
        <f t="shared" si="20"/>
        <v>3.6750553723921571</v>
      </c>
      <c r="U13" s="84">
        <f t="shared" si="21"/>
        <v>94.430832953134072</v>
      </c>
      <c r="W13" s="549" t="str">
        <f t="shared" si="22"/>
        <v>Max @ Rear</v>
      </c>
      <c r="X13" s="76">
        <f t="shared" si="23"/>
        <v>62.920580721885543</v>
      </c>
      <c r="Y13" s="76">
        <f t="shared" si="24"/>
        <v>78.36135050891825</v>
      </c>
      <c r="Z13" s="2"/>
      <c r="AA13" s="89">
        <f t="shared" si="5"/>
        <v>134.2675220252828</v>
      </c>
      <c r="AB13" s="90">
        <f t="shared" si="25"/>
        <v>-6.9472313803921534E-2</v>
      </c>
      <c r="AC13" s="91">
        <f t="shared" si="6"/>
        <v>3.8140000000000001</v>
      </c>
      <c r="AD13" s="92">
        <f t="shared" si="7"/>
        <v>3.6750553723921571</v>
      </c>
      <c r="AE13" s="43">
        <f t="shared" si="8"/>
        <v>52.19261380150337</v>
      </c>
      <c r="AF13" s="2"/>
      <c r="AG13" s="89">
        <f t="shared" si="9"/>
        <v>242.92697797471715</v>
      </c>
      <c r="AH13" s="90">
        <f t="shared" si="26"/>
        <v>-6.9472313803921534E-2</v>
      </c>
      <c r="AI13" s="91">
        <f t="shared" si="10"/>
        <v>3.8140000000000001</v>
      </c>
      <c r="AJ13" s="92">
        <f t="shared" si="11"/>
        <v>3.6750553723921571</v>
      </c>
      <c r="AK13" s="550">
        <f t="shared" si="12"/>
        <v>94.430832953134072</v>
      </c>
      <c r="AL13" s="42"/>
      <c r="AM13" s="525">
        <f t="shared" si="13"/>
        <v>105</v>
      </c>
      <c r="AN13" s="526"/>
      <c r="AO13" s="54">
        <f t="shared" si="43"/>
        <v>98.1</v>
      </c>
      <c r="AP13" s="75">
        <f t="shared" si="27"/>
        <v>0</v>
      </c>
      <c r="AQ13" s="75">
        <f t="shared" si="27"/>
        <v>0</v>
      </c>
      <c r="AR13" s="53">
        <f t="shared" si="27"/>
        <v>0</v>
      </c>
      <c r="AS13" s="55">
        <f t="shared" si="27"/>
        <v>0</v>
      </c>
      <c r="AT13" s="2"/>
      <c r="AU13" s="51">
        <f t="shared" si="14"/>
        <v>279.09449999999998</v>
      </c>
      <c r="AV13" s="50">
        <f t="shared" si="15"/>
        <v>-7.5571177504393683E-2</v>
      </c>
      <c r="AW13" s="50">
        <f t="shared" si="16"/>
        <v>0.64480400497718982</v>
      </c>
      <c r="AX13" s="69">
        <f t="shared" si="28"/>
        <v>-6.6845835853794027</v>
      </c>
      <c r="AY13" s="73">
        <f t="shared" si="29"/>
        <v>0.64921738093186043</v>
      </c>
      <c r="AZ13" s="527"/>
      <c r="BA13" s="58">
        <f t="shared" si="30"/>
        <v>0.64239210130105284</v>
      </c>
      <c r="BB13" s="57">
        <f t="shared" si="31"/>
        <v>-9.3891404771908007E-2</v>
      </c>
      <c r="BC13" s="53">
        <f t="shared" si="32"/>
        <v>26.204574669113278</v>
      </c>
      <c r="BD13" s="55">
        <f t="shared" si="33"/>
        <v>179.28810231656669</v>
      </c>
      <c r="BE13" s="2"/>
      <c r="BF13" s="54">
        <f t="shared" si="34"/>
        <v>26.204574669113278</v>
      </c>
      <c r="BG13" s="53">
        <f t="shared" si="34"/>
        <v>179.28810231656669</v>
      </c>
      <c r="BH13" s="57">
        <f t="shared" si="35"/>
        <v>0.47532003334239159</v>
      </c>
      <c r="BI13" s="129">
        <f t="shared" si="36"/>
        <v>-6.9472313803921534E-2</v>
      </c>
      <c r="BJ13" s="66" t="str">
        <f t="shared" si="17"/>
        <v>no</v>
      </c>
      <c r="BK13" s="2"/>
      <c r="BL13" s="70">
        <f t="shared" si="37"/>
        <v>181.19300032248714</v>
      </c>
      <c r="BM13" s="528">
        <f t="shared" si="38"/>
        <v>-81.684583585379414</v>
      </c>
      <c r="BN13" s="121"/>
      <c r="BO13" s="577">
        <f t="shared" si="39"/>
        <v>0.28807274748023737</v>
      </c>
      <c r="BP13" s="578">
        <f t="shared" si="40"/>
        <v>3.643015930986971E-2</v>
      </c>
      <c r="BR13" s="507" t="str">
        <f t="shared" si="41"/>
        <v>NO-OK</v>
      </c>
      <c r="BS13" s="512" t="str">
        <f t="shared" si="42"/>
        <v>NO-OK</v>
      </c>
    </row>
    <row r="14" spans="1:71" ht="20.100000000000001" customHeight="1" x14ac:dyDescent="0.25">
      <c r="A14" s="228" t="s">
        <v>77</v>
      </c>
      <c r="B14" s="224">
        <f t="shared" si="46"/>
        <v>0</v>
      </c>
      <c r="C14" s="225">
        <f>+'Input Page'!E43</f>
        <v>0</v>
      </c>
      <c r="D14" s="225">
        <f>+'Input Page'!F43</f>
        <v>0</v>
      </c>
      <c r="E14" s="226">
        <f t="shared" si="44"/>
        <v>0</v>
      </c>
      <c r="F14" s="227">
        <f t="shared" si="45"/>
        <v>0</v>
      </c>
      <c r="G14" s="205">
        <v>0</v>
      </c>
      <c r="H14" s="206">
        <f>+'Input Page'!D43</f>
        <v>0</v>
      </c>
      <c r="I14" s="221">
        <f t="shared" si="47"/>
        <v>-9.9999999999999992E-25</v>
      </c>
      <c r="J14" s="222">
        <f>+'Input Page'!C43</f>
        <v>0</v>
      </c>
      <c r="K14" s="176"/>
      <c r="L14" s="413">
        <f>+IF('Input Page'!$G$68="YES",Other!L13+15,0)</f>
        <v>120</v>
      </c>
      <c r="M14" s="9">
        <f t="shared" si="0"/>
        <v>70.640965615401896</v>
      </c>
      <c r="N14" s="9">
        <f t="shared" si="1"/>
        <v>67.234110182081068</v>
      </c>
      <c r="O14" s="9">
        <f t="shared" si="2"/>
        <v>36.274757720689728</v>
      </c>
      <c r="P14" s="9">
        <f t="shared" si="3"/>
        <v>116.3050420388039</v>
      </c>
      <c r="Q14" s="10">
        <f t="shared" si="4"/>
        <v>62.74995252003287</v>
      </c>
      <c r="R14" s="11">
        <f t="shared" si="18"/>
        <v>-0.19012697926304242</v>
      </c>
      <c r="S14" s="12">
        <f t="shared" si="19"/>
        <v>3.8140000000000001</v>
      </c>
      <c r="T14" s="13">
        <f t="shared" si="20"/>
        <v>3.4337460414739152</v>
      </c>
      <c r="U14" s="14">
        <f t="shared" si="21"/>
        <v>99.441796364513024</v>
      </c>
      <c r="W14" s="549" t="str">
        <f t="shared" si="22"/>
        <v>Max @ Rear</v>
      </c>
      <c r="X14" s="76">
        <f t="shared" si="23"/>
        <v>49.512355120361299</v>
      </c>
      <c r="Y14" s="76">
        <f t="shared" si="24"/>
        <v>91.769576110442486</v>
      </c>
      <c r="Z14" s="2"/>
      <c r="AA14" s="89">
        <f t="shared" si="5"/>
        <v>138.17398776340872</v>
      </c>
      <c r="AB14" s="90">
        <f t="shared" si="25"/>
        <v>-0.19012697926304242</v>
      </c>
      <c r="AC14" s="91">
        <f t="shared" si="6"/>
        <v>3.8140000000000001</v>
      </c>
      <c r="AD14" s="92">
        <f t="shared" si="7"/>
        <v>3.4337460414739152</v>
      </c>
      <c r="AE14" s="43">
        <f t="shared" si="8"/>
        <v>57.485733862209223</v>
      </c>
      <c r="AF14" s="2"/>
      <c r="AG14" s="89">
        <f t="shared" si="9"/>
        <v>239.02051223659123</v>
      </c>
      <c r="AH14" s="90">
        <f t="shared" si="26"/>
        <v>-0.19012697926304242</v>
      </c>
      <c r="AI14" s="91">
        <f t="shared" si="10"/>
        <v>3.8140000000000001</v>
      </c>
      <c r="AJ14" s="92">
        <f t="shared" si="11"/>
        <v>3.4337460414739152</v>
      </c>
      <c r="AK14" s="550">
        <f t="shared" si="12"/>
        <v>99.441796364513024</v>
      </c>
      <c r="AL14" s="42"/>
      <c r="AM14" s="525">
        <f t="shared" si="13"/>
        <v>120</v>
      </c>
      <c r="AN14" s="526"/>
      <c r="AO14" s="54">
        <f t="shared" si="43"/>
        <v>98.1</v>
      </c>
      <c r="AP14" s="75">
        <f t="shared" si="27"/>
        <v>0</v>
      </c>
      <c r="AQ14" s="75">
        <f t="shared" si="27"/>
        <v>0</v>
      </c>
      <c r="AR14" s="53">
        <f t="shared" si="27"/>
        <v>0</v>
      </c>
      <c r="AS14" s="55">
        <f t="shared" si="27"/>
        <v>0</v>
      </c>
      <c r="AT14" s="2"/>
      <c r="AU14" s="51">
        <f t="shared" si="14"/>
        <v>279.09449999999998</v>
      </c>
      <c r="AV14" s="50">
        <f t="shared" si="15"/>
        <v>-7.5571177504393683E-2</v>
      </c>
      <c r="AW14" s="50">
        <f t="shared" si="16"/>
        <v>0.64480400497718982</v>
      </c>
      <c r="AX14" s="69">
        <f t="shared" si="28"/>
        <v>-6.6845835853794027</v>
      </c>
      <c r="AY14" s="73">
        <f t="shared" si="29"/>
        <v>0.64921738093186043</v>
      </c>
      <c r="AZ14" s="527"/>
      <c r="BA14" s="58">
        <f t="shared" si="30"/>
        <v>0.59620223752439083</v>
      </c>
      <c r="BB14" s="57">
        <f t="shared" si="31"/>
        <v>-0.25695544297588685</v>
      </c>
      <c r="BC14" s="53">
        <f t="shared" si="32"/>
        <v>71.714850879633644</v>
      </c>
      <c r="BD14" s="55">
        <f t="shared" si="33"/>
        <v>166.39676538075108</v>
      </c>
      <c r="BE14" s="2"/>
      <c r="BF14" s="54">
        <f t="shared" si="34"/>
        <v>71.714850879633644</v>
      </c>
      <c r="BG14" s="53">
        <f t="shared" si="34"/>
        <v>166.39676538075108</v>
      </c>
      <c r="BH14" s="57">
        <f t="shared" si="35"/>
        <v>0.44114313803820338</v>
      </c>
      <c r="BI14" s="129">
        <f t="shared" si="36"/>
        <v>-0.19012697926304242</v>
      </c>
      <c r="BJ14" s="66" t="str">
        <f t="shared" si="17"/>
        <v>no</v>
      </c>
      <c r="BK14" s="2"/>
      <c r="BL14" s="70">
        <f t="shared" si="37"/>
        <v>181.19300032248711</v>
      </c>
      <c r="BM14" s="528">
        <f t="shared" si="38"/>
        <v>-66.684583585379414</v>
      </c>
      <c r="BN14" s="121"/>
      <c r="BO14" s="577">
        <f t="shared" si="39"/>
        <v>0.26735947759891115</v>
      </c>
      <c r="BP14" s="578">
        <f t="shared" si="40"/>
        <v>9.9699517180410285E-2</v>
      </c>
      <c r="BR14" s="507" t="str">
        <f t="shared" si="41"/>
        <v>NO-OK</v>
      </c>
      <c r="BS14" s="512" t="str">
        <f t="shared" si="42"/>
        <v>NO-OK</v>
      </c>
    </row>
    <row r="15" spans="1:71" ht="20.100000000000001" customHeight="1" thickBot="1" x14ac:dyDescent="0.3">
      <c r="A15" s="229" t="s">
        <v>78</v>
      </c>
      <c r="B15" s="230">
        <f t="shared" si="46"/>
        <v>0</v>
      </c>
      <c r="C15" s="231">
        <f>+'Input Page'!E44</f>
        <v>0</v>
      </c>
      <c r="D15" s="231">
        <f>+'Input Page'!F44</f>
        <v>0</v>
      </c>
      <c r="E15" s="232">
        <f t="shared" si="44"/>
        <v>0</v>
      </c>
      <c r="F15" s="233">
        <f t="shared" si="45"/>
        <v>0</v>
      </c>
      <c r="G15" s="212">
        <v>0</v>
      </c>
      <c r="H15" s="213">
        <f>+'Input Page'!D44</f>
        <v>0</v>
      </c>
      <c r="I15" s="234">
        <f t="shared" si="47"/>
        <v>-9.9999999999999992E-25</v>
      </c>
      <c r="J15" s="235">
        <f>+'Input Page'!C44</f>
        <v>0</v>
      </c>
      <c r="K15" s="176"/>
      <c r="L15" s="413">
        <f>+IF('Input Page'!$G$68="YES",Other!L14+15,0)</f>
        <v>135</v>
      </c>
      <c r="M15" s="9">
        <f t="shared" si="0"/>
        <v>70.640965615401896</v>
      </c>
      <c r="N15" s="9">
        <f t="shared" si="1"/>
        <v>80.041472799713745</v>
      </c>
      <c r="O15" s="9">
        <f t="shared" si="2"/>
        <v>28.967977716862492</v>
      </c>
      <c r="P15" s="9">
        <f t="shared" si="3"/>
        <v>127.43437084710523</v>
      </c>
      <c r="Q15" s="10">
        <f t="shared" si="4"/>
        <v>46.120041097926133</v>
      </c>
      <c r="R15" s="11">
        <f t="shared" si="18"/>
        <v>-0.29782480528507604</v>
      </c>
      <c r="S15" s="12">
        <f t="shared" si="19"/>
        <v>3.8140000000000001</v>
      </c>
      <c r="T15" s="85">
        <f t="shared" si="20"/>
        <v>3.218350389429848</v>
      </c>
      <c r="U15" s="14">
        <f t="shared" si="21"/>
        <v>102.83785900571506</v>
      </c>
      <c r="W15" s="549" t="str">
        <f t="shared" si="22"/>
        <v>Max @ Rear</v>
      </c>
      <c r="X15" s="76">
        <f t="shared" si="23"/>
        <v>37.544009407394313</v>
      </c>
      <c r="Y15" s="76">
        <f t="shared" si="24"/>
        <v>103.73792182340948</v>
      </c>
      <c r="Z15" s="2"/>
      <c r="AA15" s="89">
        <f t="shared" si="5"/>
        <v>145.51671549457762</v>
      </c>
      <c r="AB15" s="90">
        <f t="shared" si="25"/>
        <v>-0.29782480528507604</v>
      </c>
      <c r="AC15" s="91">
        <f t="shared" si="6"/>
        <v>3.8140000000000001</v>
      </c>
      <c r="AD15" s="92">
        <f t="shared" si="7"/>
        <v>3.218350389429848</v>
      </c>
      <c r="AE15" s="43">
        <f t="shared" si="8"/>
        <v>64.592414430033003</v>
      </c>
      <c r="AF15" s="2"/>
      <c r="AG15" s="89">
        <f t="shared" si="9"/>
        <v>231.67778450542232</v>
      </c>
      <c r="AH15" s="90">
        <f t="shared" si="26"/>
        <v>-0.29782480528507604</v>
      </c>
      <c r="AI15" s="91">
        <f t="shared" si="10"/>
        <v>3.8140000000000001</v>
      </c>
      <c r="AJ15" s="92">
        <f t="shared" si="11"/>
        <v>3.218350389429848</v>
      </c>
      <c r="AK15" s="550">
        <f t="shared" si="12"/>
        <v>102.83785900571506</v>
      </c>
      <c r="AL15" s="42"/>
      <c r="AM15" s="525">
        <f t="shared" si="13"/>
        <v>135</v>
      </c>
      <c r="AN15" s="526"/>
      <c r="AO15" s="54">
        <f t="shared" si="43"/>
        <v>98.1</v>
      </c>
      <c r="AP15" s="75">
        <f t="shared" si="27"/>
        <v>0</v>
      </c>
      <c r="AQ15" s="75">
        <f t="shared" si="27"/>
        <v>0</v>
      </c>
      <c r="AR15" s="53">
        <f t="shared" si="27"/>
        <v>0</v>
      </c>
      <c r="AS15" s="55">
        <f t="shared" si="27"/>
        <v>0</v>
      </c>
      <c r="AT15" s="2"/>
      <c r="AU15" s="51">
        <f t="shared" si="14"/>
        <v>279.09449999999998</v>
      </c>
      <c r="AV15" s="50">
        <f t="shared" si="15"/>
        <v>-7.5571177504393683E-2</v>
      </c>
      <c r="AW15" s="50">
        <f t="shared" si="16"/>
        <v>0.64480400497718982</v>
      </c>
      <c r="AX15" s="69">
        <f t="shared" si="28"/>
        <v>-6.6845835853794027</v>
      </c>
      <c r="AY15" s="73">
        <f t="shared" si="29"/>
        <v>0.64921738093186043</v>
      </c>
      <c r="AZ15" s="527"/>
      <c r="BA15" s="58">
        <f t="shared" si="30"/>
        <v>0.50938217653122431</v>
      </c>
      <c r="BB15" s="57">
        <f t="shared" si="31"/>
        <v>-0.40250839238000607</v>
      </c>
      <c r="BC15" s="53">
        <f t="shared" si="32"/>
        <v>112.3378785171016</v>
      </c>
      <c r="BD15" s="55">
        <f t="shared" si="33"/>
        <v>142.16576386789379</v>
      </c>
      <c r="BE15" s="2"/>
      <c r="BF15" s="54">
        <f t="shared" si="34"/>
        <v>112.3378785171016</v>
      </c>
      <c r="BG15" s="53">
        <f t="shared" si="34"/>
        <v>142.16576386789379</v>
      </c>
      <c r="BH15" s="57">
        <f t="shared" si="35"/>
        <v>0.37690306690021674</v>
      </c>
      <c r="BI15" s="129">
        <f t="shared" si="36"/>
        <v>-0.29782480528507604</v>
      </c>
      <c r="BJ15" s="66" t="str">
        <f t="shared" si="17"/>
        <v>no</v>
      </c>
      <c r="BK15" s="2"/>
      <c r="BL15" s="70">
        <f t="shared" si="37"/>
        <v>181.19300032248711</v>
      </c>
      <c r="BM15" s="528">
        <f t="shared" si="38"/>
        <v>-51.684583585379414</v>
      </c>
      <c r="BN15" s="121"/>
      <c r="BO15" s="577">
        <f t="shared" si="39"/>
        <v>0.22842610115164652</v>
      </c>
      <c r="BP15" s="578">
        <f t="shared" si="40"/>
        <v>0.15617451771634822</v>
      </c>
      <c r="BR15" s="507" t="str">
        <f t="shared" si="41"/>
        <v>NO-OK</v>
      </c>
      <c r="BS15" s="512" t="str">
        <f t="shared" si="42"/>
        <v>NO-OK</v>
      </c>
    </row>
    <row r="16" spans="1:71" ht="20.100000000000001" customHeight="1" thickBot="1" x14ac:dyDescent="0.3">
      <c r="A16" s="236" t="s">
        <v>157</v>
      </c>
      <c r="B16" s="237">
        <f>+SUM(B4:B15)</f>
        <v>279.09449999999998</v>
      </c>
      <c r="C16" s="238">
        <f>+F16/B16</f>
        <v>-7.5571177504393683E-2</v>
      </c>
      <c r="D16" s="238">
        <f>+E16/B16*-1</f>
        <v>0.64480400497718982</v>
      </c>
      <c r="E16" s="237">
        <f>+SUM(E4:E15)</f>
        <v>-179.96125136710629</v>
      </c>
      <c r="F16" s="239">
        <f>+SUM(F4:F15)</f>
        <v>-21.0915</v>
      </c>
      <c r="G16" s="911" t="s">
        <v>160</v>
      </c>
      <c r="H16" s="912"/>
      <c r="I16" s="240">
        <f>+MAX(I12:I15)</f>
        <v>0</v>
      </c>
      <c r="J16" s="154"/>
      <c r="K16" s="176"/>
      <c r="L16" s="413">
        <f>+IF('Input Page'!$G$68="YES",Other!L15+15,0)</f>
        <v>150</v>
      </c>
      <c r="M16" s="9">
        <f t="shared" si="0"/>
        <v>70.640965615401896</v>
      </c>
      <c r="N16" s="9">
        <f t="shared" si="1"/>
        <v>93.7187424678376</v>
      </c>
      <c r="O16" s="9">
        <f t="shared" si="2"/>
        <v>22.99060689042263</v>
      </c>
      <c r="P16" s="9">
        <f t="shared" si="3"/>
        <v>133.18278686437631</v>
      </c>
      <c r="Q16" s="10">
        <f t="shared" si="4"/>
        <v>32.671726238971026</v>
      </c>
      <c r="R16" s="11">
        <f t="shared" si="18"/>
        <v>-0.38522636300569346</v>
      </c>
      <c r="S16" s="12">
        <f t="shared" si="19"/>
        <v>3.8140000000000001</v>
      </c>
      <c r="T16" s="13">
        <f t="shared" si="20"/>
        <v>3.0435472739886134</v>
      </c>
      <c r="U16" s="14">
        <f t="shared" si="21"/>
        <v>103.9197121040896</v>
      </c>
      <c r="W16" s="549" t="str">
        <f t="shared" si="22"/>
        <v>Max @ Rear</v>
      </c>
      <c r="X16" s="76">
        <f t="shared" si="23"/>
        <v>27.831166564696826</v>
      </c>
      <c r="Y16" s="76">
        <f t="shared" si="24"/>
        <v>113.45076466610696</v>
      </c>
      <c r="Z16" s="2"/>
      <c r="AA16" s="89">
        <f t="shared" si="5"/>
        <v>155.79531045834156</v>
      </c>
      <c r="AB16" s="90">
        <f t="shared" si="25"/>
        <v>-0.38522636300569346</v>
      </c>
      <c r="AC16" s="91">
        <f t="shared" si="6"/>
        <v>3.8140000000000001</v>
      </c>
      <c r="AD16" s="92">
        <f t="shared" si="7"/>
        <v>3.0435472739886134</v>
      </c>
      <c r="AE16" s="43">
        <f t="shared" si="8"/>
        <v>73.126752828296929</v>
      </c>
      <c r="AF16" s="2"/>
      <c r="AG16" s="89">
        <f t="shared" si="9"/>
        <v>221.39918954165839</v>
      </c>
      <c r="AH16" s="90">
        <f t="shared" si="26"/>
        <v>-0.38522636300569346</v>
      </c>
      <c r="AI16" s="91">
        <f t="shared" si="10"/>
        <v>3.8140000000000001</v>
      </c>
      <c r="AJ16" s="92">
        <f t="shared" si="11"/>
        <v>3.0435472739886134</v>
      </c>
      <c r="AK16" s="550">
        <f t="shared" si="12"/>
        <v>103.9197121040896</v>
      </c>
      <c r="AL16" s="42"/>
      <c r="AM16" s="525">
        <f t="shared" si="13"/>
        <v>150</v>
      </c>
      <c r="AN16" s="526"/>
      <c r="AO16" s="54">
        <f t="shared" si="43"/>
        <v>98.1</v>
      </c>
      <c r="AP16" s="75">
        <f t="shared" si="27"/>
        <v>0</v>
      </c>
      <c r="AQ16" s="75">
        <f t="shared" si="27"/>
        <v>0</v>
      </c>
      <c r="AR16" s="53">
        <f t="shared" si="27"/>
        <v>0</v>
      </c>
      <c r="AS16" s="55">
        <f t="shared" si="27"/>
        <v>0</v>
      </c>
      <c r="AT16" s="2"/>
      <c r="AU16" s="51">
        <f t="shared" si="14"/>
        <v>279.09449999999998</v>
      </c>
      <c r="AV16" s="50">
        <f t="shared" si="15"/>
        <v>-7.5571177504393683E-2</v>
      </c>
      <c r="AW16" s="50">
        <f t="shared" si="16"/>
        <v>0.64480400497718982</v>
      </c>
      <c r="AX16" s="69">
        <f t="shared" si="28"/>
        <v>-6.6845835853794027</v>
      </c>
      <c r="AY16" s="73">
        <f t="shared" si="29"/>
        <v>0.64921738093186043</v>
      </c>
      <c r="AZ16" s="527"/>
      <c r="BA16" s="58">
        <f t="shared" si="30"/>
        <v>0.38784856200130319</v>
      </c>
      <c r="BB16" s="57">
        <f t="shared" si="31"/>
        <v>-0.52063106001999693</v>
      </c>
      <c r="BC16" s="53">
        <f t="shared" si="32"/>
        <v>145.30526538075102</v>
      </c>
      <c r="BD16" s="55">
        <f t="shared" si="33"/>
        <v>108.24640048747271</v>
      </c>
      <c r="BE16" s="2"/>
      <c r="BF16" s="54">
        <f t="shared" si="34"/>
        <v>145.30526538075102</v>
      </c>
      <c r="BG16" s="53">
        <f t="shared" si="34"/>
        <v>108.24640048747271</v>
      </c>
      <c r="BH16" s="57">
        <f t="shared" si="35"/>
        <v>0.28697767461474843</v>
      </c>
      <c r="BI16" s="129">
        <f t="shared" si="36"/>
        <v>-0.38522636300569346</v>
      </c>
      <c r="BJ16" s="66" t="str">
        <f t="shared" si="17"/>
        <v>no</v>
      </c>
      <c r="BK16" s="2"/>
      <c r="BL16" s="70">
        <f t="shared" si="37"/>
        <v>181.19300032248711</v>
      </c>
      <c r="BM16" s="528">
        <f t="shared" si="38"/>
        <v>-36.684583585379436</v>
      </c>
      <c r="BN16" s="121"/>
      <c r="BO16" s="577">
        <f t="shared" si="39"/>
        <v>0.17392586340287786</v>
      </c>
      <c r="BP16" s="578">
        <f t="shared" si="40"/>
        <v>0.20200648296051046</v>
      </c>
      <c r="BR16" s="507" t="str">
        <f t="shared" si="41"/>
        <v>NO-OK</v>
      </c>
      <c r="BS16" s="512" t="str">
        <f t="shared" si="42"/>
        <v>NO-OK</v>
      </c>
    </row>
    <row r="17" spans="1:71" ht="20.100000000000001" customHeight="1" thickBot="1" x14ac:dyDescent="0.3">
      <c r="A17" s="158"/>
      <c r="B17" s="154"/>
      <c r="C17" s="154"/>
      <c r="D17" s="155"/>
      <c r="E17" s="155"/>
      <c r="F17" s="155"/>
      <c r="G17" s="155"/>
      <c r="H17" s="155"/>
      <c r="I17" s="154"/>
      <c r="J17" s="154"/>
      <c r="K17" s="182"/>
      <c r="L17" s="413">
        <f>+IF('Input Page'!$G$68="YES",Other!L16+15,0)</f>
        <v>165</v>
      </c>
      <c r="M17" s="9">
        <f t="shared" si="0"/>
        <v>70.640965615401896</v>
      </c>
      <c r="N17" s="9">
        <f t="shared" si="1"/>
        <v>107.31096317915645</v>
      </c>
      <c r="O17" s="9">
        <f t="shared" si="2"/>
        <v>18.772865867290093</v>
      </c>
      <c r="P17" s="9">
        <f t="shared" si="3"/>
        <v>133.18141772091727</v>
      </c>
      <c r="Q17" s="10">
        <f t="shared" si="4"/>
        <v>23.298615694243786</v>
      </c>
      <c r="R17" s="11">
        <f t="shared" si="18"/>
        <v>-0.44637538070413818</v>
      </c>
      <c r="S17" s="12">
        <f t="shared" si="19"/>
        <v>3.8140000000000001</v>
      </c>
      <c r="T17" s="13">
        <f t="shared" si="20"/>
        <v>2.9212492385917237</v>
      </c>
      <c r="U17" s="14">
        <f t="shared" si="21"/>
        <v>102.1506209674079</v>
      </c>
      <c r="W17" s="549" t="str">
        <f t="shared" si="22"/>
        <v>Max @ Rear</v>
      </c>
      <c r="X17" s="76">
        <f t="shared" si="23"/>
        <v>21.03574078076694</v>
      </c>
      <c r="Y17" s="76">
        <f t="shared" si="24"/>
        <v>120.24619045003685</v>
      </c>
      <c r="Z17" s="2"/>
      <c r="AA17" s="89">
        <f t="shared" si="5"/>
        <v>168.30930339410148</v>
      </c>
      <c r="AB17" s="90">
        <f t="shared" si="25"/>
        <v>-0.44637538070413818</v>
      </c>
      <c r="AC17" s="91">
        <f t="shared" si="6"/>
        <v>3.8140000000000001</v>
      </c>
      <c r="AD17" s="92">
        <f t="shared" si="7"/>
        <v>2.9212492385917237</v>
      </c>
      <c r="AE17" s="43">
        <f t="shared" si="8"/>
        <v>82.307890341970889</v>
      </c>
      <c r="AF17" s="2"/>
      <c r="AG17" s="89">
        <f t="shared" si="9"/>
        <v>208.88519660589847</v>
      </c>
      <c r="AH17" s="90">
        <f t="shared" si="26"/>
        <v>-0.44637538070413818</v>
      </c>
      <c r="AI17" s="91">
        <f t="shared" si="10"/>
        <v>3.8140000000000001</v>
      </c>
      <c r="AJ17" s="92">
        <f t="shared" si="11"/>
        <v>2.9212492385917237</v>
      </c>
      <c r="AK17" s="550">
        <f t="shared" si="12"/>
        <v>102.1506209674079</v>
      </c>
      <c r="AL17" s="42"/>
      <c r="AM17" s="525">
        <f t="shared" si="13"/>
        <v>165</v>
      </c>
      <c r="AN17" s="526"/>
      <c r="AO17" s="54">
        <f t="shared" si="43"/>
        <v>98.1</v>
      </c>
      <c r="AP17" s="75">
        <f t="shared" si="27"/>
        <v>0</v>
      </c>
      <c r="AQ17" s="75">
        <f t="shared" si="27"/>
        <v>0</v>
      </c>
      <c r="AR17" s="53">
        <f t="shared" si="27"/>
        <v>0</v>
      </c>
      <c r="AS17" s="55">
        <f t="shared" si="27"/>
        <v>0</v>
      </c>
      <c r="AT17" s="2"/>
      <c r="AU17" s="51">
        <f t="shared" si="14"/>
        <v>279.09449999999998</v>
      </c>
      <c r="AV17" s="50">
        <f t="shared" si="15"/>
        <v>-7.5571177504393683E-2</v>
      </c>
      <c r="AW17" s="50">
        <f t="shared" si="16"/>
        <v>0.64480400497718982</v>
      </c>
      <c r="AX17" s="69">
        <f t="shared" si="28"/>
        <v>-6.6845835853794027</v>
      </c>
      <c r="AY17" s="73">
        <f t="shared" si="29"/>
        <v>0.64921738093186043</v>
      </c>
      <c r="AZ17" s="527"/>
      <c r="BA17" s="58">
        <f t="shared" si="30"/>
        <v>0.2398837089210468</v>
      </c>
      <c r="BB17" s="57">
        <f t="shared" si="31"/>
        <v>-0.60327358130313224</v>
      </c>
      <c r="BC17" s="53">
        <f t="shared" si="32"/>
        <v>168.37033853700703</v>
      </c>
      <c r="BD17" s="55">
        <f t="shared" si="33"/>
        <v>66.950223799465093</v>
      </c>
      <c r="BE17" s="2"/>
      <c r="BF17" s="54">
        <f t="shared" si="34"/>
        <v>168.37033853700703</v>
      </c>
      <c r="BG17" s="53">
        <f t="shared" si="34"/>
        <v>66.950223799465093</v>
      </c>
      <c r="BH17" s="57">
        <f t="shared" si="35"/>
        <v>0.17749522805731552</v>
      </c>
      <c r="BI17" s="129">
        <f t="shared" si="36"/>
        <v>-0.44637538070413818</v>
      </c>
      <c r="BJ17" s="66" t="str">
        <f t="shared" si="17"/>
        <v>no</v>
      </c>
      <c r="BK17" s="2"/>
      <c r="BL17" s="70">
        <f t="shared" si="37"/>
        <v>181.19300032248714</v>
      </c>
      <c r="BM17" s="528">
        <f t="shared" si="38"/>
        <v>-21.684583585379421</v>
      </c>
      <c r="BN17" s="121"/>
      <c r="BO17" s="577">
        <f t="shared" si="39"/>
        <v>0.10757286548928213</v>
      </c>
      <c r="BP17" s="578">
        <f t="shared" si="40"/>
        <v>0.23407204022241121</v>
      </c>
      <c r="BR17" s="507" t="str">
        <f t="shared" si="41"/>
        <v>NO-OK</v>
      </c>
      <c r="BS17" s="512" t="str">
        <f t="shared" si="42"/>
        <v>NO-OK</v>
      </c>
    </row>
    <row r="18" spans="1:71" ht="20.100000000000001" customHeight="1" thickBot="1" x14ac:dyDescent="0.3">
      <c r="A18" s="844" t="s">
        <v>154</v>
      </c>
      <c r="B18" s="845"/>
      <c r="C18" s="845"/>
      <c r="D18" s="845"/>
      <c r="E18" s="845"/>
      <c r="F18" s="845"/>
      <c r="G18" s="817" t="s">
        <v>90</v>
      </c>
      <c r="H18" s="861" t="s">
        <v>89</v>
      </c>
      <c r="I18" s="858" t="s">
        <v>158</v>
      </c>
      <c r="J18" s="863" t="s">
        <v>29</v>
      </c>
      <c r="K18" s="241"/>
      <c r="L18" s="413">
        <f>+IF('Input Page'!$G$68="YES",Other!L17+15,0)</f>
        <v>180</v>
      </c>
      <c r="M18" s="9">
        <f t="shared" si="0"/>
        <v>70.640965615401896</v>
      </c>
      <c r="N18" s="9">
        <f t="shared" si="1"/>
        <v>119.47035666616455</v>
      </c>
      <c r="O18" s="9">
        <f t="shared" si="2"/>
        <v>17.023677616280853</v>
      </c>
      <c r="P18" s="9">
        <f t="shared" si="3"/>
        <v>127.85184760982825</v>
      </c>
      <c r="Q18" s="10">
        <f t="shared" si="4"/>
        <v>18.217980569333964</v>
      </c>
      <c r="R18" s="11">
        <f t="shared" si="18"/>
        <v>-0.47710465387779066</v>
      </c>
      <c r="S18" s="12">
        <f t="shared" si="19"/>
        <v>3.8140000000000001</v>
      </c>
      <c r="T18" s="13">
        <f t="shared" si="20"/>
        <v>2.8597906922444185</v>
      </c>
      <c r="U18" s="14">
        <f t="shared" si="21"/>
        <v>97.404038377034851</v>
      </c>
      <c r="W18" s="549" t="str">
        <f t="shared" si="22"/>
        <v>Max @ Rear</v>
      </c>
      <c r="X18" s="76">
        <f t="shared" si="23"/>
        <v>17.620829092807409</v>
      </c>
      <c r="Y18" s="76">
        <f t="shared" si="24"/>
        <v>123.66110213799639</v>
      </c>
      <c r="Z18" s="2"/>
      <c r="AA18" s="89">
        <f t="shared" si="5"/>
        <v>182.20588636363632</v>
      </c>
      <c r="AB18" s="90">
        <f t="shared" si="25"/>
        <v>-0.47710465387779066</v>
      </c>
      <c r="AC18" s="91">
        <f t="shared" si="6"/>
        <v>3.8140000000000001</v>
      </c>
      <c r="AD18" s="92">
        <f t="shared" si="7"/>
        <v>2.8597906922444185</v>
      </c>
      <c r="AE18" s="43">
        <f t="shared" si="8"/>
        <v>91.018592403466968</v>
      </c>
      <c r="AF18" s="2"/>
      <c r="AG18" s="89">
        <f t="shared" si="9"/>
        <v>194.98861363636362</v>
      </c>
      <c r="AH18" s="90">
        <f t="shared" si="26"/>
        <v>-0.47710465387779066</v>
      </c>
      <c r="AI18" s="91">
        <f t="shared" si="10"/>
        <v>3.8140000000000001</v>
      </c>
      <c r="AJ18" s="92">
        <f t="shared" si="11"/>
        <v>2.8597906922444185</v>
      </c>
      <c r="AK18" s="550">
        <f t="shared" si="12"/>
        <v>97.404038377034851</v>
      </c>
      <c r="AL18" s="42"/>
      <c r="AM18" s="521">
        <f t="shared" si="13"/>
        <v>180</v>
      </c>
      <c r="AN18" s="522"/>
      <c r="AO18" s="60">
        <f t="shared" si="43"/>
        <v>98.1</v>
      </c>
      <c r="AP18" s="74">
        <f t="shared" si="27"/>
        <v>0</v>
      </c>
      <c r="AQ18" s="74">
        <f t="shared" si="27"/>
        <v>0</v>
      </c>
      <c r="AR18" s="61">
        <f t="shared" si="27"/>
        <v>0</v>
      </c>
      <c r="AS18" s="62">
        <f t="shared" si="27"/>
        <v>0</v>
      </c>
      <c r="AT18" s="67"/>
      <c r="AU18" s="63">
        <f t="shared" si="14"/>
        <v>279.09449999999998</v>
      </c>
      <c r="AV18" s="64">
        <f t="shared" si="15"/>
        <v>-7.5571177504393683E-2</v>
      </c>
      <c r="AW18" s="64">
        <f t="shared" si="16"/>
        <v>0.64480400497718982</v>
      </c>
      <c r="AX18" s="68">
        <f t="shared" si="28"/>
        <v>-6.6845835853794027</v>
      </c>
      <c r="AY18" s="72">
        <f t="shared" si="29"/>
        <v>0.64921738093186043</v>
      </c>
      <c r="AZ18" s="523"/>
      <c r="BA18" s="65">
        <f t="shared" si="30"/>
        <v>7.5571177504393794E-2</v>
      </c>
      <c r="BB18" s="66">
        <f t="shared" si="31"/>
        <v>-0.64480400497718982</v>
      </c>
      <c r="BC18" s="61">
        <f t="shared" si="32"/>
        <v>179.96125136710629</v>
      </c>
      <c r="BD18" s="62">
        <f t="shared" si="33"/>
        <v>21.091500000000032</v>
      </c>
      <c r="BE18" s="67"/>
      <c r="BF18" s="60">
        <f t="shared" si="34"/>
        <v>179.96125136710629</v>
      </c>
      <c r="BG18" s="61">
        <f t="shared" si="34"/>
        <v>21.091500000000032</v>
      </c>
      <c r="BH18" s="66">
        <f t="shared" si="35"/>
        <v>5.5916775032509844E-2</v>
      </c>
      <c r="BI18" s="128">
        <f t="shared" si="36"/>
        <v>-0.47710465387779066</v>
      </c>
      <c r="BJ18" s="66" t="str">
        <f t="shared" si="17"/>
        <v>no</v>
      </c>
      <c r="BK18" s="2"/>
      <c r="BL18" s="71">
        <f t="shared" si="37"/>
        <v>181.19300032248714</v>
      </c>
      <c r="BM18" s="524">
        <f t="shared" si="38"/>
        <v>-6.6845835853794124</v>
      </c>
      <c r="BN18" s="120"/>
      <c r="BO18" s="577">
        <f t="shared" si="39"/>
        <v>3.3888954565157482E-2</v>
      </c>
      <c r="BP18" s="578">
        <f t="shared" si="40"/>
        <v>0.25018597476549065</v>
      </c>
      <c r="BR18" s="507" t="str">
        <f t="shared" si="41"/>
        <v>NO-OK</v>
      </c>
      <c r="BS18" s="512" t="str">
        <f t="shared" si="42"/>
        <v>NO-OK</v>
      </c>
    </row>
    <row r="19" spans="1:71" ht="19.5" customHeight="1" thickBot="1" x14ac:dyDescent="0.3">
      <c r="A19" s="242" t="s">
        <v>155</v>
      </c>
      <c r="B19" s="194">
        <f>+'Input Page'!D57</f>
        <v>98.1</v>
      </c>
      <c r="C19" s="195">
        <f>+'Input Page'!E57</f>
        <v>9.9999999999999992E-25</v>
      </c>
      <c r="D19" s="195">
        <f>+'Input Page'!F57</f>
        <v>-9.9999999999999992E-25</v>
      </c>
      <c r="E19" s="194">
        <f>+'Input Page'!G57</f>
        <v>0</v>
      </c>
      <c r="F19" s="243">
        <f>+'Input Page'!H57</f>
        <v>0</v>
      </c>
      <c r="G19" s="860"/>
      <c r="H19" s="862"/>
      <c r="I19" s="859"/>
      <c r="J19" s="864"/>
      <c r="K19" s="241"/>
      <c r="L19" s="413">
        <f>+IF('Input Page'!$G$68="YES",Other!L18+15,0)</f>
        <v>195</v>
      </c>
      <c r="M19" s="9">
        <f t="shared" si="0"/>
        <v>70.640965615401896</v>
      </c>
      <c r="N19" s="9">
        <f t="shared" si="1"/>
        <v>128.66110940588834</v>
      </c>
      <c r="O19" s="9">
        <f t="shared" si="2"/>
        <v>18.569417377212705</v>
      </c>
      <c r="P19" s="9">
        <f t="shared" si="3"/>
        <v>118.26444887783073</v>
      </c>
      <c r="Q19" s="10">
        <f t="shared" si="4"/>
        <v>17.068886800675809</v>
      </c>
      <c r="R19" s="11">
        <f t="shared" si="18"/>
        <v>-0.47532003334239159</v>
      </c>
      <c r="S19" s="12">
        <f t="shared" si="19"/>
        <v>3.8140000000000001</v>
      </c>
      <c r="T19" s="13">
        <f t="shared" si="20"/>
        <v>2.8633599333152171</v>
      </c>
      <c r="U19" s="14">
        <f t="shared" si="21"/>
        <v>98.055648299268455</v>
      </c>
      <c r="W19" s="549" t="str">
        <f t="shared" si="22"/>
        <v>Max @ Rear</v>
      </c>
      <c r="X19" s="76">
        <f t="shared" si="23"/>
        <v>17.819152088944257</v>
      </c>
      <c r="Y19" s="76">
        <f t="shared" si="24"/>
        <v>123.46277914185953</v>
      </c>
      <c r="Z19" s="2"/>
      <c r="AA19" s="89">
        <f t="shared" si="5"/>
        <v>196.53803020276158</v>
      </c>
      <c r="AB19" s="90">
        <f t="shared" si="25"/>
        <v>-0.47532003334239159</v>
      </c>
      <c r="AC19" s="91">
        <f t="shared" si="6"/>
        <v>3.8140000000000001</v>
      </c>
      <c r="AD19" s="92">
        <f t="shared" si="7"/>
        <v>2.8633599333152171</v>
      </c>
      <c r="AE19" s="43">
        <f t="shared" si="8"/>
        <v>98.055648299268455</v>
      </c>
      <c r="AF19" s="2"/>
      <c r="AG19" s="89">
        <f t="shared" si="9"/>
        <v>180.65646979723837</v>
      </c>
      <c r="AH19" s="90">
        <f t="shared" si="26"/>
        <v>-0.47532003334239159</v>
      </c>
      <c r="AI19" s="91">
        <f t="shared" si="10"/>
        <v>3.8140000000000001</v>
      </c>
      <c r="AJ19" s="92">
        <f t="shared" si="11"/>
        <v>2.8633599333152171</v>
      </c>
      <c r="AK19" s="550">
        <f t="shared" si="12"/>
        <v>90.132109531931761</v>
      </c>
      <c r="AL19" s="42"/>
      <c r="AM19" s="525">
        <f t="shared" si="13"/>
        <v>195</v>
      </c>
      <c r="AN19" s="526"/>
      <c r="AO19" s="54">
        <f t="shared" si="43"/>
        <v>98.1</v>
      </c>
      <c r="AP19" s="75">
        <f t="shared" si="27"/>
        <v>0</v>
      </c>
      <c r="AQ19" s="75">
        <f t="shared" si="27"/>
        <v>0</v>
      </c>
      <c r="AR19" s="53">
        <f t="shared" si="27"/>
        <v>0</v>
      </c>
      <c r="AS19" s="55">
        <f t="shared" si="27"/>
        <v>0</v>
      </c>
      <c r="AT19" s="2"/>
      <c r="AU19" s="51">
        <f t="shared" si="14"/>
        <v>279.09449999999998</v>
      </c>
      <c r="AV19" s="50">
        <f t="shared" si="15"/>
        <v>-7.5571177504393683E-2</v>
      </c>
      <c r="AW19" s="50">
        <f t="shared" si="16"/>
        <v>0.64480400497718982</v>
      </c>
      <c r="AX19" s="69">
        <f t="shared" si="28"/>
        <v>-6.6845835853794027</v>
      </c>
      <c r="AY19" s="73">
        <f t="shared" si="29"/>
        <v>0.64921738093186043</v>
      </c>
      <c r="AZ19" s="527"/>
      <c r="BA19" s="58">
        <f t="shared" si="30"/>
        <v>-9.3891404771907966E-2</v>
      </c>
      <c r="BB19" s="57">
        <f t="shared" si="31"/>
        <v>-0.64239210130105284</v>
      </c>
      <c r="BC19" s="53">
        <f t="shared" si="32"/>
        <v>179.28810231656669</v>
      </c>
      <c r="BD19" s="55">
        <f t="shared" si="33"/>
        <v>-26.204574669113267</v>
      </c>
      <c r="BE19" s="2"/>
      <c r="BF19" s="54">
        <f t="shared" si="34"/>
        <v>179.28810231656669</v>
      </c>
      <c r="BG19" s="53">
        <f t="shared" si="34"/>
        <v>-26.204574669113267</v>
      </c>
      <c r="BH19" s="57">
        <f t="shared" si="35"/>
        <v>-6.9472313803921507E-2</v>
      </c>
      <c r="BI19" s="129">
        <f t="shared" si="36"/>
        <v>-0.47532003334239159</v>
      </c>
      <c r="BJ19" s="66" t="str">
        <f t="shared" si="17"/>
        <v>no</v>
      </c>
      <c r="BK19" s="2"/>
      <c r="BL19" s="70">
        <f t="shared" si="37"/>
        <v>181.19300032248714</v>
      </c>
      <c r="BM19" s="528">
        <f t="shared" si="38"/>
        <v>8.3154164146205947</v>
      </c>
      <c r="BN19" s="121"/>
      <c r="BO19" s="577">
        <f t="shared" si="39"/>
        <v>4.2104432608437277E-2</v>
      </c>
      <c r="BP19" s="578">
        <f t="shared" si="40"/>
        <v>0.24925014858017389</v>
      </c>
      <c r="BR19" s="507" t="str">
        <f t="shared" si="41"/>
        <v>NO-OK</v>
      </c>
      <c r="BS19" s="512" t="str">
        <f t="shared" si="42"/>
        <v>NO-OK</v>
      </c>
    </row>
    <row r="20" spans="1:71" ht="19.5" customHeight="1" x14ac:dyDescent="0.25">
      <c r="A20" s="244" t="s">
        <v>74</v>
      </c>
      <c r="B20" s="245">
        <f>+G20</f>
        <v>0</v>
      </c>
      <c r="C20" s="246">
        <f>+'Input Page'!E62</f>
        <v>0</v>
      </c>
      <c r="D20" s="246">
        <f>+'Input Page'!F62</f>
        <v>0</v>
      </c>
      <c r="E20" s="245">
        <f>+B20*D20*-1</f>
        <v>0</v>
      </c>
      <c r="F20" s="247">
        <f>+B20*C20</f>
        <v>0</v>
      </c>
      <c r="G20" s="248">
        <v>0</v>
      </c>
      <c r="H20" s="249">
        <f>+'Input Page'!D62</f>
        <v>0</v>
      </c>
      <c r="I20" s="221">
        <f>+IF(J20=0,-1E-24,G20/J20*-1)</f>
        <v>-9.9999999999999992E-25</v>
      </c>
      <c r="J20" s="222">
        <f>+'Input Page'!C62</f>
        <v>0</v>
      </c>
      <c r="K20" s="241"/>
      <c r="L20" s="413">
        <f>+IF('Input Page'!$G$68="YES",Other!L19+15,0)</f>
        <v>210</v>
      </c>
      <c r="M20" s="9">
        <f t="shared" si="0"/>
        <v>70.640965615401896</v>
      </c>
      <c r="N20" s="9">
        <f t="shared" si="1"/>
        <v>133.45352165870503</v>
      </c>
      <c r="O20" s="9">
        <f t="shared" si="2"/>
        <v>24.108110668681523</v>
      </c>
      <c r="P20" s="9">
        <f t="shared" si="3"/>
        <v>105.87595203343243</v>
      </c>
      <c r="Q20" s="10">
        <f t="shared" si="4"/>
        <v>19.126278100788586</v>
      </c>
      <c r="R20" s="11">
        <f t="shared" si="18"/>
        <v>-0.44114313803820343</v>
      </c>
      <c r="S20" s="12">
        <f t="shared" si="19"/>
        <v>3.8140000000000001</v>
      </c>
      <c r="T20" s="13">
        <f t="shared" si="20"/>
        <v>2.9317137239235933</v>
      </c>
      <c r="U20" s="14">
        <f t="shared" si="21"/>
        <v>102.48955428233245</v>
      </c>
      <c r="W20" s="549" t="str">
        <f t="shared" si="22"/>
        <v>Max @ Rear</v>
      </c>
      <c r="X20" s="76">
        <f t="shared" si="23"/>
        <v>21.617194384735054</v>
      </c>
      <c r="Y20" s="76">
        <f t="shared" si="24"/>
        <v>119.66473684606873</v>
      </c>
      <c r="Z20" s="2"/>
      <c r="AA20" s="89">
        <f t="shared" si="5"/>
        <v>210.32902299382835</v>
      </c>
      <c r="AB20" s="90">
        <f t="shared" si="25"/>
        <v>-0.44114313803820343</v>
      </c>
      <c r="AC20" s="91">
        <f t="shared" si="6"/>
        <v>3.8140000000000001</v>
      </c>
      <c r="AD20" s="92">
        <f t="shared" si="7"/>
        <v>2.9317137239235933</v>
      </c>
      <c r="AE20" s="43">
        <f t="shared" si="8"/>
        <v>102.48955428233245</v>
      </c>
      <c r="AF20" s="2"/>
      <c r="AG20" s="89">
        <f t="shared" si="9"/>
        <v>166.8654770061716</v>
      </c>
      <c r="AH20" s="90">
        <f t="shared" si="26"/>
        <v>-0.44114313803820343</v>
      </c>
      <c r="AI20" s="91">
        <f t="shared" si="10"/>
        <v>3.8140000000000001</v>
      </c>
      <c r="AJ20" s="92">
        <f t="shared" si="11"/>
        <v>2.9317137239235933</v>
      </c>
      <c r="AK20" s="550">
        <f t="shared" si="12"/>
        <v>81.310549157893206</v>
      </c>
      <c r="AL20" s="42"/>
      <c r="AM20" s="525">
        <f t="shared" si="13"/>
        <v>210</v>
      </c>
      <c r="AN20" s="526"/>
      <c r="AO20" s="54">
        <f t="shared" si="43"/>
        <v>98.1</v>
      </c>
      <c r="AP20" s="75">
        <f t="shared" si="27"/>
        <v>0</v>
      </c>
      <c r="AQ20" s="75">
        <f t="shared" si="27"/>
        <v>0</v>
      </c>
      <c r="AR20" s="53">
        <f t="shared" si="27"/>
        <v>0</v>
      </c>
      <c r="AS20" s="55">
        <f t="shared" si="27"/>
        <v>0</v>
      </c>
      <c r="AT20" s="2"/>
      <c r="AU20" s="51">
        <f t="shared" si="14"/>
        <v>279.09449999999998</v>
      </c>
      <c r="AV20" s="50">
        <f t="shared" si="15"/>
        <v>-7.5571177504393683E-2</v>
      </c>
      <c r="AW20" s="50">
        <f t="shared" si="16"/>
        <v>0.64480400497718982</v>
      </c>
      <c r="AX20" s="69">
        <f t="shared" si="28"/>
        <v>-6.6845835853794027</v>
      </c>
      <c r="AY20" s="73">
        <f t="shared" si="29"/>
        <v>0.64921738093186043</v>
      </c>
      <c r="AZ20" s="527"/>
      <c r="BA20" s="58">
        <f t="shared" si="30"/>
        <v>-0.25695544297588663</v>
      </c>
      <c r="BB20" s="57">
        <f t="shared" si="31"/>
        <v>-0.59620223752439094</v>
      </c>
      <c r="BC20" s="53">
        <f t="shared" si="32"/>
        <v>166.39676538075111</v>
      </c>
      <c r="BD20" s="55">
        <f t="shared" si="33"/>
        <v>-71.714850879633588</v>
      </c>
      <c r="BE20" s="2"/>
      <c r="BF20" s="54">
        <f t="shared" si="34"/>
        <v>166.39676538075111</v>
      </c>
      <c r="BG20" s="53">
        <f t="shared" si="34"/>
        <v>-71.714850879633588</v>
      </c>
      <c r="BH20" s="57">
        <f t="shared" si="35"/>
        <v>-0.19012697926304226</v>
      </c>
      <c r="BI20" s="129">
        <f t="shared" si="36"/>
        <v>-0.44114313803820343</v>
      </c>
      <c r="BJ20" s="66" t="str">
        <f t="shared" si="17"/>
        <v>no</v>
      </c>
      <c r="BK20" s="2"/>
      <c r="BL20" s="70">
        <f t="shared" si="37"/>
        <v>181.19300032248711</v>
      </c>
      <c r="BM20" s="528">
        <f t="shared" si="38"/>
        <v>23.315416414620575</v>
      </c>
      <c r="BN20" s="121"/>
      <c r="BO20" s="577">
        <f t="shared" si="39"/>
        <v>0.11522847228063168</v>
      </c>
      <c r="BP20" s="578">
        <f t="shared" si="40"/>
        <v>0.23132833667446431</v>
      </c>
      <c r="BR20" s="507" t="str">
        <f t="shared" si="41"/>
        <v>NO-OK</v>
      </c>
      <c r="BS20" s="512" t="str">
        <f t="shared" si="42"/>
        <v>NO-OK</v>
      </c>
    </row>
    <row r="21" spans="1:71" ht="18.75" customHeight="1" x14ac:dyDescent="0.25">
      <c r="A21" s="200" t="s">
        <v>75</v>
      </c>
      <c r="B21" s="201">
        <f>+G21</f>
        <v>0</v>
      </c>
      <c r="C21" s="202">
        <f>+'Input Page'!E63</f>
        <v>0</v>
      </c>
      <c r="D21" s="202">
        <f>+'Input Page'!F63</f>
        <v>0</v>
      </c>
      <c r="E21" s="201">
        <f t="shared" ref="E21:E23" si="48">+B21*D21*-1</f>
        <v>0</v>
      </c>
      <c r="F21" s="250">
        <f t="shared" ref="F21:F23" si="49">+B21*C21</f>
        <v>0</v>
      </c>
      <c r="G21" s="251">
        <v>0</v>
      </c>
      <c r="H21" s="252">
        <f>+'Input Page'!D63</f>
        <v>0</v>
      </c>
      <c r="I21" s="221">
        <f t="shared" ref="I21:I23" si="50">+IF(J21=0,-1E-24,G21/J21*-1)</f>
        <v>-9.9999999999999992E-25</v>
      </c>
      <c r="J21" s="222">
        <f>+'Input Page'!C63</f>
        <v>0</v>
      </c>
      <c r="K21" s="241"/>
      <c r="L21" s="413">
        <f>+IF('Input Page'!$G$68="YES",Other!L20+15,0)</f>
        <v>225</v>
      </c>
      <c r="M21" s="9">
        <f t="shared" si="0"/>
        <v>70.640965615401896</v>
      </c>
      <c r="N21" s="9">
        <f t="shared" si="1"/>
        <v>132.83670018040962</v>
      </c>
      <c r="O21" s="9">
        <f t="shared" si="2"/>
        <v>33.946602965008488</v>
      </c>
      <c r="P21" s="9">
        <f t="shared" si="3"/>
        <v>92.214910932631383</v>
      </c>
      <c r="Q21" s="10">
        <f t="shared" si="4"/>
        <v>23.56564838355807</v>
      </c>
      <c r="R21" s="11">
        <f t="shared" si="18"/>
        <v>-0.37690306690021674</v>
      </c>
      <c r="S21" s="12">
        <f t="shared" si="19"/>
        <v>3.8140000000000001</v>
      </c>
      <c r="T21" s="13">
        <f t="shared" si="20"/>
        <v>3.0601938661995667</v>
      </c>
      <c r="U21" s="14">
        <f t="shared" si="21"/>
        <v>103.93320587015737</v>
      </c>
      <c r="W21" s="549" t="str">
        <f t="shared" si="22"/>
        <v>Max @ Rear</v>
      </c>
      <c r="X21" s="76">
        <f t="shared" si="23"/>
        <v>28.756125674283279</v>
      </c>
      <c r="Y21" s="76">
        <f t="shared" si="24"/>
        <v>112.52580555652051</v>
      </c>
      <c r="Z21" s="2"/>
      <c r="AA21" s="89">
        <f t="shared" si="5"/>
        <v>222.63903136881865</v>
      </c>
      <c r="AB21" s="90">
        <f t="shared" si="25"/>
        <v>-0.37690306690021674</v>
      </c>
      <c r="AC21" s="91">
        <f t="shared" si="6"/>
        <v>3.8140000000000001</v>
      </c>
      <c r="AD21" s="92">
        <f t="shared" si="7"/>
        <v>3.0601938661995667</v>
      </c>
      <c r="AE21" s="43">
        <f t="shared" si="8"/>
        <v>103.93320587015737</v>
      </c>
      <c r="AF21" s="2"/>
      <c r="AG21" s="89">
        <f t="shared" si="9"/>
        <v>154.5554686311813</v>
      </c>
      <c r="AH21" s="90">
        <f t="shared" si="26"/>
        <v>-0.37690306690021674</v>
      </c>
      <c r="AI21" s="91">
        <f t="shared" si="10"/>
        <v>3.8140000000000001</v>
      </c>
      <c r="AJ21" s="92">
        <f t="shared" si="11"/>
        <v>3.0601938661995667</v>
      </c>
      <c r="AK21" s="550">
        <f t="shared" si="12"/>
        <v>72.150176188077666</v>
      </c>
      <c r="AL21" s="42"/>
      <c r="AM21" s="525">
        <f t="shared" si="13"/>
        <v>225</v>
      </c>
      <c r="AN21" s="526"/>
      <c r="AO21" s="54">
        <f t="shared" si="43"/>
        <v>98.1</v>
      </c>
      <c r="AP21" s="75">
        <f t="shared" si="27"/>
        <v>0</v>
      </c>
      <c r="AQ21" s="75">
        <f t="shared" si="27"/>
        <v>0</v>
      </c>
      <c r="AR21" s="53">
        <f t="shared" si="27"/>
        <v>0</v>
      </c>
      <c r="AS21" s="55">
        <f t="shared" si="27"/>
        <v>0</v>
      </c>
      <c r="AT21" s="2"/>
      <c r="AU21" s="51">
        <f t="shared" si="14"/>
        <v>279.09449999999998</v>
      </c>
      <c r="AV21" s="50">
        <f t="shared" si="15"/>
        <v>-7.5571177504393683E-2</v>
      </c>
      <c r="AW21" s="50">
        <f t="shared" si="16"/>
        <v>0.64480400497718982</v>
      </c>
      <c r="AX21" s="69">
        <f t="shared" si="28"/>
        <v>-6.6845835853794027</v>
      </c>
      <c r="AY21" s="73">
        <f t="shared" si="29"/>
        <v>0.64921738093186043</v>
      </c>
      <c r="AZ21" s="527"/>
      <c r="BA21" s="58">
        <f t="shared" si="30"/>
        <v>-0.40250839238000607</v>
      </c>
      <c r="BB21" s="57">
        <f t="shared" si="31"/>
        <v>-0.50938217653122431</v>
      </c>
      <c r="BC21" s="53">
        <f t="shared" si="32"/>
        <v>142.16576386789379</v>
      </c>
      <c r="BD21" s="55">
        <f t="shared" si="33"/>
        <v>-112.3378785171016</v>
      </c>
      <c r="BE21" s="2"/>
      <c r="BF21" s="54">
        <f t="shared" si="34"/>
        <v>142.16576386789379</v>
      </c>
      <c r="BG21" s="53">
        <f t="shared" si="34"/>
        <v>-112.3378785171016</v>
      </c>
      <c r="BH21" s="57">
        <f t="shared" si="35"/>
        <v>-0.29782480528507604</v>
      </c>
      <c r="BI21" s="129">
        <f t="shared" si="36"/>
        <v>-0.37690306690021674</v>
      </c>
      <c r="BJ21" s="66" t="str">
        <f t="shared" si="17"/>
        <v>no</v>
      </c>
      <c r="BK21" s="2"/>
      <c r="BL21" s="70">
        <f t="shared" si="37"/>
        <v>181.19300032248711</v>
      </c>
      <c r="BM21" s="528">
        <f t="shared" si="38"/>
        <v>38.315416414620586</v>
      </c>
      <c r="BN21" s="121"/>
      <c r="BO21" s="577">
        <f t="shared" si="39"/>
        <v>0.18049988199095518</v>
      </c>
      <c r="BP21" s="578">
        <f t="shared" si="40"/>
        <v>0.19764188091254156</v>
      </c>
      <c r="BR21" s="507" t="str">
        <f t="shared" si="41"/>
        <v>NO-OK</v>
      </c>
      <c r="BS21" s="512" t="str">
        <f t="shared" si="42"/>
        <v>NO-OK</v>
      </c>
    </row>
    <row r="22" spans="1:71" ht="20.100000000000001" customHeight="1" x14ac:dyDescent="0.25">
      <c r="A22" s="200" t="s">
        <v>77</v>
      </c>
      <c r="B22" s="201">
        <f>+G22</f>
        <v>0</v>
      </c>
      <c r="C22" s="202">
        <f>+'Input Page'!E64</f>
        <v>0</v>
      </c>
      <c r="D22" s="202">
        <f>+'Input Page'!F64</f>
        <v>0</v>
      </c>
      <c r="E22" s="201">
        <f t="shared" si="48"/>
        <v>0</v>
      </c>
      <c r="F22" s="250">
        <f t="shared" si="49"/>
        <v>0</v>
      </c>
      <c r="G22" s="251">
        <v>0</v>
      </c>
      <c r="H22" s="252">
        <f>+'Input Page'!D64</f>
        <v>0</v>
      </c>
      <c r="I22" s="221">
        <f t="shared" si="50"/>
        <v>-9.9999999999999992E-25</v>
      </c>
      <c r="J22" s="222">
        <f>+'Input Page'!C64</f>
        <v>0</v>
      </c>
      <c r="K22" s="253"/>
      <c r="L22" s="413">
        <f>+IF('Input Page'!$G$68="YES",Other!L21+15,0)</f>
        <v>240</v>
      </c>
      <c r="M22" s="9">
        <f t="shared" si="0"/>
        <v>70.640965615401896</v>
      </c>
      <c r="N22" s="9">
        <f t="shared" si="1"/>
        <v>126.47080609479067</v>
      </c>
      <c r="O22" s="9">
        <f t="shared" si="2"/>
        <v>47.79629151568772</v>
      </c>
      <c r="P22" s="9">
        <f t="shared" si="3"/>
        <v>78.59417719112092</v>
      </c>
      <c r="Q22" s="10">
        <f t="shared" si="4"/>
        <v>29.702587660008287</v>
      </c>
      <c r="R22" s="11">
        <f t="shared" si="18"/>
        <v>-0.28697767461474827</v>
      </c>
      <c r="S22" s="12">
        <f t="shared" si="19"/>
        <v>3.8140000000000001</v>
      </c>
      <c r="T22" s="13">
        <f t="shared" si="20"/>
        <v>3.2400446507705034</v>
      </c>
      <c r="U22" s="14">
        <f t="shared" si="21"/>
        <v>102.56875782997395</v>
      </c>
      <c r="W22" s="549" t="str">
        <f t="shared" si="22"/>
        <v>Max @ Rear</v>
      </c>
      <c r="X22" s="76">
        <f t="shared" si="23"/>
        <v>38.749439587848002</v>
      </c>
      <c r="Y22" s="76">
        <f t="shared" si="24"/>
        <v>102.53249164295579</v>
      </c>
      <c r="Z22" s="2"/>
      <c r="AA22" s="89">
        <f t="shared" si="5"/>
        <v>232.62914860022758</v>
      </c>
      <c r="AB22" s="90">
        <f t="shared" si="25"/>
        <v>-0.28697767461474827</v>
      </c>
      <c r="AC22" s="91">
        <f t="shared" si="6"/>
        <v>3.8140000000000001</v>
      </c>
      <c r="AD22" s="92">
        <f t="shared" si="7"/>
        <v>3.2400446507705034</v>
      </c>
      <c r="AE22" s="43">
        <f t="shared" si="8"/>
        <v>102.56875782997395</v>
      </c>
      <c r="AF22" s="2"/>
      <c r="AG22" s="89">
        <f t="shared" si="9"/>
        <v>144.56535139977237</v>
      </c>
      <c r="AH22" s="90">
        <f t="shared" si="26"/>
        <v>-0.28697767461474827</v>
      </c>
      <c r="AI22" s="91">
        <f t="shared" si="10"/>
        <v>3.8140000000000001</v>
      </c>
      <c r="AJ22" s="92">
        <f t="shared" si="11"/>
        <v>3.2400446507705034</v>
      </c>
      <c r="AK22" s="550">
        <f t="shared" si="12"/>
        <v>63.740458182263367</v>
      </c>
      <c r="AL22" s="42"/>
      <c r="AM22" s="525">
        <f t="shared" si="13"/>
        <v>240</v>
      </c>
      <c r="AN22" s="526"/>
      <c r="AO22" s="54">
        <f t="shared" si="43"/>
        <v>98.1</v>
      </c>
      <c r="AP22" s="75">
        <f t="shared" si="27"/>
        <v>0</v>
      </c>
      <c r="AQ22" s="75">
        <f t="shared" si="27"/>
        <v>0</v>
      </c>
      <c r="AR22" s="53">
        <f t="shared" si="27"/>
        <v>0</v>
      </c>
      <c r="AS22" s="55">
        <f t="shared" si="27"/>
        <v>0</v>
      </c>
      <c r="AT22" s="2"/>
      <c r="AU22" s="51">
        <f t="shared" si="14"/>
        <v>279.09449999999998</v>
      </c>
      <c r="AV22" s="50">
        <f t="shared" si="15"/>
        <v>-7.5571177504393683E-2</v>
      </c>
      <c r="AW22" s="50">
        <f t="shared" si="16"/>
        <v>0.64480400497718982</v>
      </c>
      <c r="AX22" s="69">
        <f t="shared" si="28"/>
        <v>-6.6845835853794027</v>
      </c>
      <c r="AY22" s="73">
        <f t="shared" si="29"/>
        <v>0.64921738093186043</v>
      </c>
      <c r="AZ22" s="527"/>
      <c r="BA22" s="58">
        <f t="shared" si="30"/>
        <v>-0.52063106001999715</v>
      </c>
      <c r="BB22" s="57">
        <f t="shared" si="31"/>
        <v>-0.38784856200130297</v>
      </c>
      <c r="BC22" s="53">
        <f t="shared" si="32"/>
        <v>108.24640048747264</v>
      </c>
      <c r="BD22" s="55">
        <f t="shared" si="33"/>
        <v>-145.30526538075108</v>
      </c>
      <c r="BE22" s="2"/>
      <c r="BF22" s="54">
        <f t="shared" si="34"/>
        <v>108.24640048747264</v>
      </c>
      <c r="BG22" s="53">
        <f t="shared" si="34"/>
        <v>-145.30526538075108</v>
      </c>
      <c r="BH22" s="57">
        <f t="shared" si="35"/>
        <v>-0.38522636300569363</v>
      </c>
      <c r="BI22" s="129">
        <f t="shared" si="36"/>
        <v>-0.28697767461474827</v>
      </c>
      <c r="BJ22" s="66" t="str">
        <f t="shared" si="17"/>
        <v>no</v>
      </c>
      <c r="BK22" s="2"/>
      <c r="BL22" s="70">
        <f t="shared" si="37"/>
        <v>181.19300032248711</v>
      </c>
      <c r="BM22" s="528">
        <f t="shared" si="38"/>
        <v>53.315416414620593</v>
      </c>
      <c r="BN22" s="121"/>
      <c r="BO22" s="577">
        <f t="shared" si="39"/>
        <v>0.23347052303375374</v>
      </c>
      <c r="BP22" s="578">
        <f t="shared" si="40"/>
        <v>0.15048645758508036</v>
      </c>
      <c r="BR22" s="507" t="str">
        <f t="shared" si="41"/>
        <v>NO-OK</v>
      </c>
      <c r="BS22" s="512" t="str">
        <f t="shared" si="42"/>
        <v>NO-OK</v>
      </c>
    </row>
    <row r="23" spans="1:71" ht="16.5" thickBot="1" x14ac:dyDescent="0.3">
      <c r="A23" s="207" t="s">
        <v>78</v>
      </c>
      <c r="B23" s="208">
        <f>+G23</f>
        <v>0</v>
      </c>
      <c r="C23" s="209">
        <f>+'Input Page'!E65</f>
        <v>0</v>
      </c>
      <c r="D23" s="209">
        <f>+'Input Page'!F65</f>
        <v>0</v>
      </c>
      <c r="E23" s="208">
        <f t="shared" si="48"/>
        <v>0</v>
      </c>
      <c r="F23" s="254">
        <f t="shared" si="49"/>
        <v>0</v>
      </c>
      <c r="G23" s="255">
        <v>0</v>
      </c>
      <c r="H23" s="256">
        <f>+'Input Page'!D65</f>
        <v>0</v>
      </c>
      <c r="I23" s="234">
        <f t="shared" si="50"/>
        <v>-9.9999999999999992E-25</v>
      </c>
      <c r="J23" s="235">
        <f>+'Input Page'!C65</f>
        <v>0</v>
      </c>
      <c r="K23" s="253"/>
      <c r="L23" s="413">
        <f>+IF('Input Page'!$G$68="YES",Other!L22+15,0)</f>
        <v>255</v>
      </c>
      <c r="M23" s="9">
        <f t="shared" si="0"/>
        <v>70.640965615401896</v>
      </c>
      <c r="N23" s="9">
        <f t="shared" si="1"/>
        <v>114.8125372458161</v>
      </c>
      <c r="O23" s="9">
        <f t="shared" si="2"/>
        <v>64.690470251512465</v>
      </c>
      <c r="P23" s="9">
        <f t="shared" si="3"/>
        <v>65.919108621887744</v>
      </c>
      <c r="Q23" s="10">
        <f t="shared" si="4"/>
        <v>37.141746342391244</v>
      </c>
      <c r="R23" s="11">
        <f t="shared" si="18"/>
        <v>-0.17749522805731552</v>
      </c>
      <c r="S23" s="12">
        <f t="shared" si="19"/>
        <v>3.8140000000000001</v>
      </c>
      <c r="T23" s="13">
        <f t="shared" si="20"/>
        <v>3.4590095438853692</v>
      </c>
      <c r="U23" s="14">
        <f t="shared" si="21"/>
        <v>98.962500957109157</v>
      </c>
      <c r="W23" s="549" t="str">
        <f t="shared" si="22"/>
        <v>Max @ Rear</v>
      </c>
      <c r="X23" s="76">
        <f t="shared" si="23"/>
        <v>50.916108296951855</v>
      </c>
      <c r="Y23" s="76">
        <f t="shared" si="24"/>
        <v>90.365822933851931</v>
      </c>
      <c r="Z23" s="2"/>
      <c r="AA23" s="89">
        <f t="shared" si="5"/>
        <v>239.61856470818392</v>
      </c>
      <c r="AB23" s="90">
        <f t="shared" si="25"/>
        <v>-0.17749522805731552</v>
      </c>
      <c r="AC23" s="91">
        <f t="shared" si="6"/>
        <v>3.8140000000000001</v>
      </c>
      <c r="AD23" s="92">
        <f t="shared" si="7"/>
        <v>3.4590095438853692</v>
      </c>
      <c r="AE23" s="43">
        <f t="shared" si="8"/>
        <v>98.962500957109157</v>
      </c>
      <c r="AF23" s="2"/>
      <c r="AG23" s="89">
        <f t="shared" si="9"/>
        <v>137.57593529181602</v>
      </c>
      <c r="AH23" s="90">
        <f t="shared" si="26"/>
        <v>-0.17749522805731552</v>
      </c>
      <c r="AI23" s="91">
        <f t="shared" si="10"/>
        <v>3.8140000000000001</v>
      </c>
      <c r="AJ23" s="92">
        <f t="shared" si="11"/>
        <v>3.4590095438853692</v>
      </c>
      <c r="AK23" s="550">
        <f t="shared" si="12"/>
        <v>56.818880642959343</v>
      </c>
      <c r="AL23" s="42"/>
      <c r="AM23" s="525">
        <f t="shared" si="13"/>
        <v>255</v>
      </c>
      <c r="AN23" s="526"/>
      <c r="AO23" s="54">
        <f t="shared" si="43"/>
        <v>98.1</v>
      </c>
      <c r="AP23" s="75">
        <f t="shared" si="43"/>
        <v>0</v>
      </c>
      <c r="AQ23" s="75">
        <f t="shared" si="43"/>
        <v>0</v>
      </c>
      <c r="AR23" s="53">
        <f t="shared" si="43"/>
        <v>0</v>
      </c>
      <c r="AS23" s="55">
        <f t="shared" si="43"/>
        <v>0</v>
      </c>
      <c r="AT23" s="2"/>
      <c r="AU23" s="51">
        <f t="shared" si="14"/>
        <v>279.09449999999998</v>
      </c>
      <c r="AV23" s="50">
        <f t="shared" si="15"/>
        <v>-7.5571177504393683E-2</v>
      </c>
      <c r="AW23" s="50">
        <f t="shared" si="16"/>
        <v>0.64480400497718982</v>
      </c>
      <c r="AX23" s="69">
        <f t="shared" si="28"/>
        <v>-6.6845835853794027</v>
      </c>
      <c r="AY23" s="73">
        <f t="shared" si="29"/>
        <v>0.64921738093186043</v>
      </c>
      <c r="AZ23" s="527"/>
      <c r="BA23" s="58">
        <f t="shared" si="30"/>
        <v>-0.60327358130313213</v>
      </c>
      <c r="BB23" s="57">
        <f t="shared" si="31"/>
        <v>-0.23988370892104682</v>
      </c>
      <c r="BC23" s="53">
        <f t="shared" si="32"/>
        <v>66.950223799465093</v>
      </c>
      <c r="BD23" s="55">
        <f t="shared" si="33"/>
        <v>-168.370338537007</v>
      </c>
      <c r="BE23" s="2"/>
      <c r="BF23" s="54">
        <f t="shared" si="34"/>
        <v>66.950223799465093</v>
      </c>
      <c r="BG23" s="53">
        <f t="shared" si="34"/>
        <v>-168.370338537007</v>
      </c>
      <c r="BH23" s="57">
        <f t="shared" si="35"/>
        <v>-0.44637538070413812</v>
      </c>
      <c r="BI23" s="129">
        <f t="shared" si="36"/>
        <v>-0.17749522805731552</v>
      </c>
      <c r="BJ23" s="66" t="str">
        <f t="shared" si="17"/>
        <v>no</v>
      </c>
      <c r="BK23" s="2"/>
      <c r="BL23" s="70">
        <f t="shared" si="37"/>
        <v>181.19300032248708</v>
      </c>
      <c r="BM23" s="528">
        <f t="shared" si="38"/>
        <v>68.315416414620586</v>
      </c>
      <c r="BN23" s="121"/>
      <c r="BO23" s="577">
        <f t="shared" si="39"/>
        <v>0.27053053376008374</v>
      </c>
      <c r="BP23" s="578">
        <f t="shared" si="40"/>
        <v>9.3075630863825656E-2</v>
      </c>
      <c r="BR23" s="507" t="str">
        <f t="shared" si="41"/>
        <v>NO-OK</v>
      </c>
      <c r="BS23" s="512" t="str">
        <f t="shared" si="42"/>
        <v>NO-OK</v>
      </c>
    </row>
    <row r="24" spans="1:71" ht="16.5" thickBot="1" x14ac:dyDescent="0.3">
      <c r="A24" s="831" t="s">
        <v>156</v>
      </c>
      <c r="B24" s="829">
        <f>+SUM(B19:B23)</f>
        <v>98.1</v>
      </c>
      <c r="C24" s="825">
        <f>+F24/B24</f>
        <v>0</v>
      </c>
      <c r="D24" s="825">
        <f>+E24/B24*-1</f>
        <v>0</v>
      </c>
      <c r="E24" s="829">
        <f>+SUM(E19:E23)</f>
        <v>0</v>
      </c>
      <c r="F24" s="842">
        <f>+SUM(F19:F23)</f>
        <v>0</v>
      </c>
      <c r="G24" s="913" t="s">
        <v>160</v>
      </c>
      <c r="H24" s="913"/>
      <c r="I24" s="240">
        <f>+MAX(I20:I23)</f>
        <v>-9.9999999999999992E-25</v>
      </c>
      <c r="J24" s="154"/>
      <c r="K24" s="253"/>
      <c r="L24" s="413">
        <f>+IF('Input Page'!$G$68="YES",Other!L23+15,0)</f>
        <v>270</v>
      </c>
      <c r="M24" s="9">
        <f t="shared" si="0"/>
        <v>70.640965615401896</v>
      </c>
      <c r="N24" s="9">
        <f t="shared" si="1"/>
        <v>99.07787627757952</v>
      </c>
      <c r="O24" s="9">
        <f t="shared" si="2"/>
        <v>83.056337922350636</v>
      </c>
      <c r="P24" s="9">
        <f t="shared" si="3"/>
        <v>54.631999313147851</v>
      </c>
      <c r="Q24" s="10">
        <f t="shared" si="4"/>
        <v>45.797648948529599</v>
      </c>
      <c r="R24" s="11">
        <f t="shared" si="18"/>
        <v>-5.591677503251008E-2</v>
      </c>
      <c r="S24" s="12">
        <f t="shared" si="19"/>
        <v>3.8140000000000001</v>
      </c>
      <c r="T24" s="13">
        <f t="shared" si="20"/>
        <v>3.70216644993498</v>
      </c>
      <c r="U24" s="14">
        <f t="shared" si="21"/>
        <v>93.81802551999435</v>
      </c>
      <c r="W24" s="549" t="str">
        <f t="shared" si="22"/>
        <v>Max @ Rear</v>
      </c>
      <c r="X24" s="76">
        <f t="shared" si="23"/>
        <v>64.42699343544011</v>
      </c>
      <c r="Y24" s="76">
        <f t="shared" si="24"/>
        <v>76.854937795363682</v>
      </c>
      <c r="Z24" s="2"/>
      <c r="AA24" s="89">
        <f t="shared" si="5"/>
        <v>243.13096253548673</v>
      </c>
      <c r="AB24" s="90">
        <f t="shared" si="25"/>
        <v>-5.591677503251008E-2</v>
      </c>
      <c r="AC24" s="91">
        <f t="shared" si="6"/>
        <v>3.8140000000000001</v>
      </c>
      <c r="AD24" s="92">
        <f t="shared" si="7"/>
        <v>3.70216644993498</v>
      </c>
      <c r="AE24" s="43">
        <f t="shared" si="8"/>
        <v>93.81802551999435</v>
      </c>
      <c r="AF24" s="2"/>
      <c r="AG24" s="89">
        <f t="shared" si="9"/>
        <v>134.06353746451322</v>
      </c>
      <c r="AH24" s="90">
        <f t="shared" si="26"/>
        <v>-5.591677503251008E-2</v>
      </c>
      <c r="AI24" s="91">
        <f t="shared" si="10"/>
        <v>3.8140000000000001</v>
      </c>
      <c r="AJ24" s="92">
        <f t="shared" si="11"/>
        <v>3.70216644993498</v>
      </c>
      <c r="AK24" s="550">
        <f t="shared" si="12"/>
        <v>51.731693273375782</v>
      </c>
      <c r="AL24" s="42"/>
      <c r="AM24" s="521">
        <f t="shared" si="13"/>
        <v>270</v>
      </c>
      <c r="AN24" s="522"/>
      <c r="AO24" s="60">
        <f t="shared" si="43"/>
        <v>98.1</v>
      </c>
      <c r="AP24" s="74">
        <f t="shared" si="43"/>
        <v>0</v>
      </c>
      <c r="AQ24" s="74">
        <f t="shared" si="43"/>
        <v>0</v>
      </c>
      <c r="AR24" s="61">
        <f t="shared" si="43"/>
        <v>0</v>
      </c>
      <c r="AS24" s="62">
        <f t="shared" si="43"/>
        <v>0</v>
      </c>
      <c r="AT24" s="67"/>
      <c r="AU24" s="63">
        <f t="shared" si="14"/>
        <v>279.09449999999998</v>
      </c>
      <c r="AV24" s="64">
        <f t="shared" si="15"/>
        <v>-7.5571177504393683E-2</v>
      </c>
      <c r="AW24" s="64">
        <f t="shared" si="16"/>
        <v>0.64480400497718982</v>
      </c>
      <c r="AX24" s="68">
        <f t="shared" si="28"/>
        <v>-6.6845835853794027</v>
      </c>
      <c r="AY24" s="72">
        <f t="shared" si="29"/>
        <v>0.64921738093186043</v>
      </c>
      <c r="AZ24" s="523"/>
      <c r="BA24" s="65">
        <f t="shared" si="30"/>
        <v>-0.6448040049771897</v>
      </c>
      <c r="BB24" s="66">
        <f t="shared" si="31"/>
        <v>-7.5571177504394113E-2</v>
      </c>
      <c r="BC24" s="61">
        <f t="shared" si="32"/>
        <v>21.091500000000121</v>
      </c>
      <c r="BD24" s="62">
        <f t="shared" si="33"/>
        <v>-179.96125136710626</v>
      </c>
      <c r="BE24" s="67"/>
      <c r="BF24" s="60">
        <f t="shared" si="34"/>
        <v>21.091500000000121</v>
      </c>
      <c r="BG24" s="61">
        <f t="shared" si="34"/>
        <v>-179.96125136710626</v>
      </c>
      <c r="BH24" s="66">
        <f t="shared" si="35"/>
        <v>-0.47710465387779061</v>
      </c>
      <c r="BI24" s="128">
        <f t="shared" si="36"/>
        <v>-5.591677503251008E-2</v>
      </c>
      <c r="BJ24" s="66" t="str">
        <f t="shared" si="17"/>
        <v>no</v>
      </c>
      <c r="BK24" s="2"/>
      <c r="BL24" s="71">
        <f t="shared" si="37"/>
        <v>181.19300032248711</v>
      </c>
      <c r="BM24" s="524">
        <f t="shared" si="38"/>
        <v>83.315416414620557</v>
      </c>
      <c r="BN24" s="120"/>
      <c r="BO24" s="577">
        <f t="shared" si="39"/>
        <v>0.28915433568350946</v>
      </c>
      <c r="BP24" s="578">
        <f t="shared" si="40"/>
        <v>2.9321853713953894E-2</v>
      </c>
      <c r="BR24" s="507" t="str">
        <f t="shared" si="41"/>
        <v>NO-OK</v>
      </c>
      <c r="BS24" s="512" t="str">
        <f t="shared" si="42"/>
        <v>NO-OK</v>
      </c>
    </row>
    <row r="25" spans="1:71" ht="16.5" thickBot="1" x14ac:dyDescent="0.3">
      <c r="A25" s="832"/>
      <c r="B25" s="830"/>
      <c r="C25" s="826"/>
      <c r="D25" s="826"/>
      <c r="E25" s="830"/>
      <c r="F25" s="843"/>
      <c r="G25" s="257"/>
      <c r="H25" s="480"/>
      <c r="I25" s="259"/>
      <c r="J25" s="259"/>
      <c r="K25" s="260"/>
      <c r="L25" s="413">
        <f>+IF('Input Page'!$G$68="YES",Other!L24+15,0)</f>
        <v>285</v>
      </c>
      <c r="M25" s="9">
        <f t="shared" si="0"/>
        <v>70.640965615401896</v>
      </c>
      <c r="N25" s="9">
        <f t="shared" si="1"/>
        <v>100.93512004628423</v>
      </c>
      <c r="O25" s="9">
        <f t="shared" si="2"/>
        <v>81.046285283491159</v>
      </c>
      <c r="P25" s="9">
        <f t="shared" si="3"/>
        <v>55.787580971552281</v>
      </c>
      <c r="Q25" s="10">
        <f t="shared" si="4"/>
        <v>44.794876160279919</v>
      </c>
      <c r="R25" s="11">
        <f t="shared" si="18"/>
        <v>6.9472313803921493E-2</v>
      </c>
      <c r="S25" s="12">
        <f t="shared" si="19"/>
        <v>3.8140000000000001</v>
      </c>
      <c r="T25" s="13">
        <f t="shared" si="20"/>
        <v>3.6750553723921571</v>
      </c>
      <c r="U25" s="14">
        <f t="shared" si="21"/>
        <v>94.430832953134072</v>
      </c>
      <c r="W25" s="549" t="str">
        <f t="shared" si="22"/>
        <v>Max @ Front</v>
      </c>
      <c r="X25" s="76">
        <f t="shared" si="23"/>
        <v>62.920580721885543</v>
      </c>
      <c r="Y25" s="76">
        <f t="shared" si="24"/>
        <v>78.36135050891825</v>
      </c>
      <c r="Z25" s="2"/>
      <c r="AA25" s="89">
        <f t="shared" si="5"/>
        <v>242.92697797471712</v>
      </c>
      <c r="AB25" s="90">
        <f t="shared" si="25"/>
        <v>6.9472313803921493E-2</v>
      </c>
      <c r="AC25" s="91">
        <f t="shared" si="6"/>
        <v>3.8140000000000001</v>
      </c>
      <c r="AD25" s="92">
        <f t="shared" si="7"/>
        <v>3.6750553723921571</v>
      </c>
      <c r="AE25" s="43">
        <f t="shared" si="8"/>
        <v>94.430832953134072</v>
      </c>
      <c r="AF25" s="2"/>
      <c r="AG25" s="89">
        <f t="shared" si="9"/>
        <v>134.26752202528283</v>
      </c>
      <c r="AH25" s="90">
        <f t="shared" si="26"/>
        <v>6.9472313803921493E-2</v>
      </c>
      <c r="AI25" s="91">
        <f t="shared" si="10"/>
        <v>3.8140000000000001</v>
      </c>
      <c r="AJ25" s="92">
        <f t="shared" si="11"/>
        <v>3.6750553723921571</v>
      </c>
      <c r="AK25" s="550">
        <f t="shared" si="12"/>
        <v>52.19261380150337</v>
      </c>
      <c r="AL25" s="42"/>
      <c r="AM25" s="525">
        <f t="shared" si="13"/>
        <v>285</v>
      </c>
      <c r="AN25" s="526"/>
      <c r="AO25" s="54">
        <f t="shared" si="43"/>
        <v>98.1</v>
      </c>
      <c r="AP25" s="75">
        <f t="shared" si="43"/>
        <v>0</v>
      </c>
      <c r="AQ25" s="75">
        <f t="shared" si="43"/>
        <v>0</v>
      </c>
      <c r="AR25" s="53">
        <f t="shared" si="43"/>
        <v>0</v>
      </c>
      <c r="AS25" s="55">
        <f t="shared" si="43"/>
        <v>0</v>
      </c>
      <c r="AT25" s="2"/>
      <c r="AU25" s="51">
        <f t="shared" si="14"/>
        <v>279.09449999999998</v>
      </c>
      <c r="AV25" s="50">
        <f t="shared" si="15"/>
        <v>-7.5571177504393683E-2</v>
      </c>
      <c r="AW25" s="50">
        <f t="shared" si="16"/>
        <v>0.64480400497718982</v>
      </c>
      <c r="AX25" s="69">
        <f t="shared" si="28"/>
        <v>-6.6845835853794027</v>
      </c>
      <c r="AY25" s="73">
        <f t="shared" si="29"/>
        <v>0.64921738093186043</v>
      </c>
      <c r="AZ25" s="527"/>
      <c r="BA25" s="58">
        <f t="shared" si="30"/>
        <v>-0.64239210130105284</v>
      </c>
      <c r="BB25" s="57">
        <f t="shared" si="31"/>
        <v>9.3891404771907938E-2</v>
      </c>
      <c r="BC25" s="53">
        <f t="shared" si="32"/>
        <v>-26.20457466911326</v>
      </c>
      <c r="BD25" s="55">
        <f t="shared" si="33"/>
        <v>-179.28810231656669</v>
      </c>
      <c r="BE25" s="2"/>
      <c r="BF25" s="54">
        <f t="shared" si="34"/>
        <v>-26.20457466911326</v>
      </c>
      <c r="BG25" s="53">
        <f t="shared" si="34"/>
        <v>-179.28810231656669</v>
      </c>
      <c r="BH25" s="57">
        <f t="shared" si="35"/>
        <v>-0.47532003334239159</v>
      </c>
      <c r="BI25" s="129">
        <f t="shared" si="36"/>
        <v>6.9472313803921493E-2</v>
      </c>
      <c r="BJ25" s="66" t="str">
        <f t="shared" si="17"/>
        <v>no</v>
      </c>
      <c r="BK25" s="2"/>
      <c r="BL25" s="70">
        <f t="shared" si="37"/>
        <v>181.19300032248714</v>
      </c>
      <c r="BM25" s="528">
        <f t="shared" si="38"/>
        <v>-81.684583585379414</v>
      </c>
      <c r="BN25" s="121"/>
      <c r="BO25" s="577">
        <f t="shared" si="39"/>
        <v>0.28807274748023737</v>
      </c>
      <c r="BP25" s="578">
        <f t="shared" si="40"/>
        <v>3.6430159309869689E-2</v>
      </c>
      <c r="BR25" s="507" t="str">
        <f t="shared" si="41"/>
        <v>NO-OK</v>
      </c>
      <c r="BS25" s="512" t="str">
        <f t="shared" si="42"/>
        <v>NO-OK</v>
      </c>
    </row>
    <row r="26" spans="1:71" ht="16.5" thickBot="1" x14ac:dyDescent="0.3">
      <c r="A26" s="261" t="s">
        <v>94</v>
      </c>
      <c r="B26" s="262">
        <f>+SUM(B4:B8)+B19</f>
        <v>377.19449999999995</v>
      </c>
      <c r="C26" s="263"/>
      <c r="D26" s="264"/>
      <c r="E26" s="264"/>
      <c r="F26" s="264"/>
      <c r="G26" s="840" t="s">
        <v>1</v>
      </c>
      <c r="H26" s="841"/>
      <c r="I26" s="914">
        <f>+'Input Page'!C68</f>
        <v>3.8140000000000001</v>
      </c>
      <c r="J26" s="915"/>
      <c r="K26" s="260"/>
      <c r="L26" s="413">
        <f>+IF('Input Page'!$G$68="YES",Other!L25+15,0)</f>
        <v>300</v>
      </c>
      <c r="M26" s="9">
        <f t="shared" si="0"/>
        <v>70.640965615401896</v>
      </c>
      <c r="N26" s="9">
        <f t="shared" si="1"/>
        <v>116.30504203880389</v>
      </c>
      <c r="O26" s="9">
        <f t="shared" si="2"/>
        <v>62.749952520032892</v>
      </c>
      <c r="P26" s="9">
        <f t="shared" si="3"/>
        <v>67.234110182081054</v>
      </c>
      <c r="Q26" s="10">
        <f t="shared" si="4"/>
        <v>36.274757720689742</v>
      </c>
      <c r="R26" s="11">
        <f t="shared" si="18"/>
        <v>0.19012697926304226</v>
      </c>
      <c r="S26" s="12">
        <f t="shared" si="19"/>
        <v>3.8140000000000001</v>
      </c>
      <c r="T26" s="13">
        <f t="shared" si="20"/>
        <v>3.4337460414739156</v>
      </c>
      <c r="U26" s="14">
        <f t="shared" si="21"/>
        <v>99.44179636451301</v>
      </c>
      <c r="W26" s="549" t="str">
        <f t="shared" si="22"/>
        <v>Max @ Front</v>
      </c>
      <c r="X26" s="76">
        <f t="shared" si="23"/>
        <v>49.51235512036132</v>
      </c>
      <c r="Y26" s="76">
        <f t="shared" si="24"/>
        <v>91.769576110442472</v>
      </c>
      <c r="Z26" s="2"/>
      <c r="AA26" s="89">
        <f t="shared" si="5"/>
        <v>239.02051223659123</v>
      </c>
      <c r="AB26" s="90">
        <f t="shared" si="25"/>
        <v>0.19012697926304226</v>
      </c>
      <c r="AC26" s="91">
        <f t="shared" si="6"/>
        <v>3.8140000000000001</v>
      </c>
      <c r="AD26" s="92">
        <f t="shared" si="7"/>
        <v>3.4337460414739156</v>
      </c>
      <c r="AE26" s="43">
        <f t="shared" si="8"/>
        <v>99.44179636451301</v>
      </c>
      <c r="AF26" s="2"/>
      <c r="AG26" s="89">
        <f t="shared" si="9"/>
        <v>138.17398776340872</v>
      </c>
      <c r="AH26" s="90">
        <f t="shared" si="26"/>
        <v>0.19012697926304226</v>
      </c>
      <c r="AI26" s="91">
        <f t="shared" si="10"/>
        <v>3.8140000000000001</v>
      </c>
      <c r="AJ26" s="92">
        <f t="shared" si="11"/>
        <v>3.4337460414739156</v>
      </c>
      <c r="AK26" s="550">
        <f t="shared" si="12"/>
        <v>57.485733862209216</v>
      </c>
      <c r="AL26" s="42"/>
      <c r="AM26" s="525">
        <f t="shared" si="13"/>
        <v>300</v>
      </c>
      <c r="AN26" s="526"/>
      <c r="AO26" s="54">
        <f t="shared" si="43"/>
        <v>98.1</v>
      </c>
      <c r="AP26" s="75">
        <f t="shared" si="43"/>
        <v>0</v>
      </c>
      <c r="AQ26" s="75">
        <f t="shared" si="43"/>
        <v>0</v>
      </c>
      <c r="AR26" s="53">
        <f t="shared" si="43"/>
        <v>0</v>
      </c>
      <c r="AS26" s="55">
        <f t="shared" si="43"/>
        <v>0</v>
      </c>
      <c r="AT26" s="2"/>
      <c r="AU26" s="51">
        <f t="shared" si="14"/>
        <v>279.09449999999998</v>
      </c>
      <c r="AV26" s="50">
        <f t="shared" si="15"/>
        <v>-7.5571177504393683E-2</v>
      </c>
      <c r="AW26" s="50">
        <f t="shared" si="16"/>
        <v>0.64480400497718982</v>
      </c>
      <c r="AX26" s="69">
        <f t="shared" si="28"/>
        <v>-6.6845835853794027</v>
      </c>
      <c r="AY26" s="73">
        <f t="shared" si="29"/>
        <v>0.64921738093186043</v>
      </c>
      <c r="AZ26" s="527"/>
      <c r="BA26" s="58">
        <f t="shared" si="30"/>
        <v>-0.59620223752439094</v>
      </c>
      <c r="BB26" s="57">
        <f t="shared" si="31"/>
        <v>0.25695544297588663</v>
      </c>
      <c r="BC26" s="53">
        <f t="shared" si="32"/>
        <v>-71.714850879633588</v>
      </c>
      <c r="BD26" s="55">
        <f t="shared" si="33"/>
        <v>-166.39676538075111</v>
      </c>
      <c r="BE26" s="2"/>
      <c r="BF26" s="54">
        <f t="shared" si="34"/>
        <v>-71.714850879633588</v>
      </c>
      <c r="BG26" s="53">
        <f t="shared" si="34"/>
        <v>-166.39676538075111</v>
      </c>
      <c r="BH26" s="57">
        <f t="shared" si="35"/>
        <v>-0.44114313803820343</v>
      </c>
      <c r="BI26" s="129">
        <f t="shared" si="36"/>
        <v>0.19012697926304226</v>
      </c>
      <c r="BJ26" s="66" t="str">
        <f t="shared" si="17"/>
        <v>no</v>
      </c>
      <c r="BK26" s="2"/>
      <c r="BL26" s="70">
        <f t="shared" si="37"/>
        <v>181.19300032248711</v>
      </c>
      <c r="BM26" s="528">
        <f t="shared" si="38"/>
        <v>-66.684583585379428</v>
      </c>
      <c r="BN26" s="121"/>
      <c r="BO26" s="577">
        <f t="shared" si="39"/>
        <v>0.26735947759891121</v>
      </c>
      <c r="BP26" s="578">
        <f t="shared" si="40"/>
        <v>9.9699517180410202E-2</v>
      </c>
      <c r="BR26" s="507" t="str">
        <f t="shared" si="41"/>
        <v>NO-OK</v>
      </c>
      <c r="BS26" s="512" t="str">
        <f t="shared" si="42"/>
        <v>NO-OK</v>
      </c>
    </row>
    <row r="27" spans="1:71" ht="15.75" x14ac:dyDescent="0.25">
      <c r="A27" s="821" t="s">
        <v>110</v>
      </c>
      <c r="B27" s="823">
        <f>+B16+B24</f>
        <v>377.19449999999995</v>
      </c>
      <c r="C27" s="825">
        <f>+F27/B27</f>
        <v>-5.5916775032509761E-2</v>
      </c>
      <c r="D27" s="827">
        <f>+E27/B27*-1</f>
        <v>0.47710465387779066</v>
      </c>
      <c r="E27" s="829">
        <f>+E16+E24</f>
        <v>-179.96125136710629</v>
      </c>
      <c r="F27" s="819">
        <f>+F16+F24</f>
        <v>-21.0915</v>
      </c>
      <c r="G27" s="856" t="s">
        <v>2</v>
      </c>
      <c r="H27" s="857"/>
      <c r="I27" s="852">
        <f>+'Input Page'!C69</f>
        <v>0.7</v>
      </c>
      <c r="J27" s="853"/>
      <c r="K27" s="260"/>
      <c r="L27" s="413">
        <f>+IF('Input Page'!$G$68="YES",Other!L26+15,0)</f>
        <v>315</v>
      </c>
      <c r="M27" s="9">
        <f t="shared" si="0"/>
        <v>70.640965615401896</v>
      </c>
      <c r="N27" s="9">
        <f t="shared" si="1"/>
        <v>127.43437084710519</v>
      </c>
      <c r="O27" s="9">
        <f t="shared" si="2"/>
        <v>46.120041097926169</v>
      </c>
      <c r="P27" s="9">
        <f t="shared" si="3"/>
        <v>80.041472799713716</v>
      </c>
      <c r="Q27" s="10">
        <f t="shared" si="4"/>
        <v>28.96797771686251</v>
      </c>
      <c r="R27" s="11">
        <f t="shared" si="18"/>
        <v>0.29782480528507582</v>
      </c>
      <c r="S27" s="12">
        <f t="shared" si="19"/>
        <v>3.8140000000000001</v>
      </c>
      <c r="T27" s="13">
        <f t="shared" si="20"/>
        <v>3.2183503894298484</v>
      </c>
      <c r="U27" s="14">
        <f t="shared" si="21"/>
        <v>102.83785900571505</v>
      </c>
      <c r="W27" s="549" t="str">
        <f t="shared" si="22"/>
        <v>Max @ Front</v>
      </c>
      <c r="X27" s="76">
        <f t="shared" si="23"/>
        <v>37.544009407394341</v>
      </c>
      <c r="Y27" s="76">
        <f t="shared" si="24"/>
        <v>103.73792182340945</v>
      </c>
      <c r="Z27" s="2"/>
      <c r="AA27" s="89">
        <f t="shared" si="5"/>
        <v>231.67778450542235</v>
      </c>
      <c r="AB27" s="90">
        <f t="shared" si="25"/>
        <v>0.29782480528507582</v>
      </c>
      <c r="AC27" s="91">
        <f t="shared" si="6"/>
        <v>3.8140000000000001</v>
      </c>
      <c r="AD27" s="92">
        <f t="shared" si="7"/>
        <v>3.2183503894298484</v>
      </c>
      <c r="AE27" s="43">
        <f t="shared" si="8"/>
        <v>102.83785900571505</v>
      </c>
      <c r="AF27" s="2"/>
      <c r="AG27" s="89">
        <f t="shared" si="9"/>
        <v>145.5167154945776</v>
      </c>
      <c r="AH27" s="90">
        <f t="shared" si="26"/>
        <v>0.29782480528507582</v>
      </c>
      <c r="AI27" s="91">
        <f t="shared" si="10"/>
        <v>3.8140000000000001</v>
      </c>
      <c r="AJ27" s="92">
        <f t="shared" si="11"/>
        <v>3.2183503894298484</v>
      </c>
      <c r="AK27" s="550">
        <f t="shared" si="12"/>
        <v>64.592414430033003</v>
      </c>
      <c r="AL27" s="42"/>
      <c r="AM27" s="525">
        <f t="shared" si="13"/>
        <v>315</v>
      </c>
      <c r="AN27" s="526"/>
      <c r="AO27" s="54">
        <f t="shared" si="43"/>
        <v>98.1</v>
      </c>
      <c r="AP27" s="75">
        <f t="shared" si="43"/>
        <v>0</v>
      </c>
      <c r="AQ27" s="75">
        <f t="shared" si="43"/>
        <v>0</v>
      </c>
      <c r="AR27" s="53">
        <f t="shared" si="43"/>
        <v>0</v>
      </c>
      <c r="AS27" s="55">
        <f t="shared" si="43"/>
        <v>0</v>
      </c>
      <c r="AT27" s="2"/>
      <c r="AU27" s="51">
        <f t="shared" si="14"/>
        <v>279.09449999999998</v>
      </c>
      <c r="AV27" s="50">
        <f t="shared" si="15"/>
        <v>-7.5571177504393683E-2</v>
      </c>
      <c r="AW27" s="50">
        <f t="shared" si="16"/>
        <v>0.64480400497718982</v>
      </c>
      <c r="AX27" s="69">
        <f t="shared" si="28"/>
        <v>-6.6845835853794027</v>
      </c>
      <c r="AY27" s="73">
        <f t="shared" si="29"/>
        <v>0.64921738093186043</v>
      </c>
      <c r="AZ27" s="527"/>
      <c r="BA27" s="58">
        <f t="shared" si="30"/>
        <v>-0.50938217653122453</v>
      </c>
      <c r="BB27" s="57">
        <f t="shared" si="31"/>
        <v>0.4025083923800058</v>
      </c>
      <c r="BC27" s="53">
        <f t="shared" si="32"/>
        <v>-112.33787851710152</v>
      </c>
      <c r="BD27" s="55">
        <f t="shared" si="33"/>
        <v>-142.16576386789384</v>
      </c>
      <c r="BE27" s="2"/>
      <c r="BF27" s="54">
        <f t="shared" si="34"/>
        <v>-112.33787851710152</v>
      </c>
      <c r="BG27" s="53">
        <f t="shared" si="34"/>
        <v>-142.16576386789384</v>
      </c>
      <c r="BH27" s="57">
        <f t="shared" si="35"/>
        <v>-0.37690306690021691</v>
      </c>
      <c r="BI27" s="129">
        <f t="shared" si="36"/>
        <v>0.29782480528507582</v>
      </c>
      <c r="BJ27" s="66" t="str">
        <f t="shared" si="17"/>
        <v>no</v>
      </c>
      <c r="BK27" s="2"/>
      <c r="BL27" s="70">
        <f t="shared" si="37"/>
        <v>181.19300032248711</v>
      </c>
      <c r="BM27" s="528">
        <f t="shared" si="38"/>
        <v>-51.68458358537945</v>
      </c>
      <c r="BN27" s="121"/>
      <c r="BO27" s="577">
        <f t="shared" si="39"/>
        <v>0.22842610115164663</v>
      </c>
      <c r="BP27" s="578">
        <f t="shared" si="40"/>
        <v>0.1561745177163481</v>
      </c>
      <c r="BR27" s="507" t="str">
        <f t="shared" si="41"/>
        <v>NO-OK</v>
      </c>
      <c r="BS27" s="512" t="str">
        <f t="shared" si="42"/>
        <v>NO-OK</v>
      </c>
    </row>
    <row r="28" spans="1:71" ht="16.5" thickBot="1" x14ac:dyDescent="0.3">
      <c r="A28" s="822"/>
      <c r="B28" s="824"/>
      <c r="C28" s="826"/>
      <c r="D28" s="828"/>
      <c r="E28" s="830"/>
      <c r="F28" s="820"/>
      <c r="G28" s="972" t="s">
        <v>95</v>
      </c>
      <c r="H28" s="973"/>
      <c r="I28" s="854">
        <f>+'Input Page'!C70</f>
        <v>3.3</v>
      </c>
      <c r="J28" s="855"/>
      <c r="K28" s="154"/>
      <c r="L28" s="413">
        <f>+IF('Input Page'!$G$68="YES",Other!L27+15,0)</f>
        <v>330</v>
      </c>
      <c r="M28" s="9">
        <f t="shared" si="0"/>
        <v>70.640965615401896</v>
      </c>
      <c r="N28" s="9">
        <f t="shared" si="1"/>
        <v>133.18278686437634</v>
      </c>
      <c r="O28" s="9">
        <f t="shared" si="2"/>
        <v>32.671726238971004</v>
      </c>
      <c r="P28" s="9">
        <f t="shared" si="3"/>
        <v>93.718742467837643</v>
      </c>
      <c r="Q28" s="10">
        <f t="shared" si="4"/>
        <v>22.990606890422612</v>
      </c>
      <c r="R28" s="11">
        <f t="shared" si="18"/>
        <v>0.38522636300569363</v>
      </c>
      <c r="S28" s="12">
        <f t="shared" si="19"/>
        <v>3.8140000000000001</v>
      </c>
      <c r="T28" s="13">
        <f t="shared" si="20"/>
        <v>3.0435472739886129</v>
      </c>
      <c r="U28" s="14">
        <f t="shared" si="21"/>
        <v>103.91971210408961</v>
      </c>
      <c r="W28" s="549" t="str">
        <f t="shared" si="22"/>
        <v>Max @ Front</v>
      </c>
      <c r="X28" s="76">
        <f t="shared" si="23"/>
        <v>27.831166564696808</v>
      </c>
      <c r="Y28" s="76">
        <f t="shared" si="24"/>
        <v>113.45076466610699</v>
      </c>
      <c r="Z28" s="2"/>
      <c r="AA28" s="89">
        <f t="shared" si="5"/>
        <v>221.39918954165836</v>
      </c>
      <c r="AB28" s="90">
        <f t="shared" si="25"/>
        <v>0.38522636300569363</v>
      </c>
      <c r="AC28" s="91">
        <f t="shared" si="6"/>
        <v>3.8140000000000001</v>
      </c>
      <c r="AD28" s="92">
        <f t="shared" si="7"/>
        <v>3.0435472739886129</v>
      </c>
      <c r="AE28" s="43">
        <f t="shared" si="8"/>
        <v>103.91971210408961</v>
      </c>
      <c r="AF28" s="2"/>
      <c r="AG28" s="89">
        <f t="shared" si="9"/>
        <v>155.79531045834159</v>
      </c>
      <c r="AH28" s="90">
        <f t="shared" si="26"/>
        <v>0.38522636300569363</v>
      </c>
      <c r="AI28" s="91">
        <f t="shared" si="10"/>
        <v>3.8140000000000001</v>
      </c>
      <c r="AJ28" s="92">
        <f t="shared" si="11"/>
        <v>3.0435472739886129</v>
      </c>
      <c r="AK28" s="550">
        <f t="shared" si="12"/>
        <v>73.126752828296958</v>
      </c>
      <c r="AL28" s="42"/>
      <c r="AM28" s="525">
        <f t="shared" si="13"/>
        <v>330</v>
      </c>
      <c r="AN28" s="526"/>
      <c r="AO28" s="54">
        <f t="shared" si="43"/>
        <v>98.1</v>
      </c>
      <c r="AP28" s="75">
        <f t="shared" si="43"/>
        <v>0</v>
      </c>
      <c r="AQ28" s="75">
        <f t="shared" si="43"/>
        <v>0</v>
      </c>
      <c r="AR28" s="53">
        <f t="shared" si="43"/>
        <v>0</v>
      </c>
      <c r="AS28" s="55">
        <f t="shared" si="43"/>
        <v>0</v>
      </c>
      <c r="AT28" s="2"/>
      <c r="AU28" s="51">
        <f t="shared" si="14"/>
        <v>279.09449999999998</v>
      </c>
      <c r="AV28" s="50">
        <f t="shared" si="15"/>
        <v>-7.5571177504393683E-2</v>
      </c>
      <c r="AW28" s="50">
        <f t="shared" si="16"/>
        <v>0.64480400497718982</v>
      </c>
      <c r="AX28" s="69">
        <f t="shared" si="28"/>
        <v>-6.6845835853794027</v>
      </c>
      <c r="AY28" s="73">
        <f t="shared" si="29"/>
        <v>0.64921738093186043</v>
      </c>
      <c r="AZ28" s="527"/>
      <c r="BA28" s="58">
        <f t="shared" si="30"/>
        <v>-0.38784856200130297</v>
      </c>
      <c r="BB28" s="57">
        <f t="shared" si="31"/>
        <v>0.52063106001999715</v>
      </c>
      <c r="BC28" s="53">
        <f t="shared" si="32"/>
        <v>-145.30526538075108</v>
      </c>
      <c r="BD28" s="55">
        <f t="shared" si="33"/>
        <v>-108.24640048747264</v>
      </c>
      <c r="BE28" s="2"/>
      <c r="BF28" s="54">
        <f t="shared" si="34"/>
        <v>-145.30526538075108</v>
      </c>
      <c r="BG28" s="53">
        <f t="shared" si="34"/>
        <v>-108.24640048747264</v>
      </c>
      <c r="BH28" s="57">
        <f t="shared" si="35"/>
        <v>-0.28697767461474827</v>
      </c>
      <c r="BI28" s="129">
        <f t="shared" si="36"/>
        <v>0.38522636300569363</v>
      </c>
      <c r="BJ28" s="66" t="str">
        <f t="shared" si="17"/>
        <v>no</v>
      </c>
      <c r="BK28" s="2"/>
      <c r="BL28" s="70">
        <f t="shared" si="37"/>
        <v>181.19300032248711</v>
      </c>
      <c r="BM28" s="528">
        <f t="shared" si="38"/>
        <v>-36.684583585379407</v>
      </c>
      <c r="BN28" s="121"/>
      <c r="BO28" s="577">
        <f t="shared" si="39"/>
        <v>0.17392586340287775</v>
      </c>
      <c r="BP28" s="578">
        <f t="shared" si="40"/>
        <v>0.20200648296051055</v>
      </c>
      <c r="BR28" s="507" t="str">
        <f t="shared" si="41"/>
        <v>NO-OK</v>
      </c>
      <c r="BS28" s="512" t="str">
        <f t="shared" si="42"/>
        <v>NO-OK</v>
      </c>
    </row>
    <row r="29" spans="1:71" ht="15.75" customHeight="1" thickBot="1" x14ac:dyDescent="0.3">
      <c r="A29" s="265"/>
      <c r="B29" s="266"/>
      <c r="C29" s="267"/>
      <c r="D29" s="268"/>
      <c r="E29" s="269"/>
      <c r="F29" s="266"/>
      <c r="G29" s="182"/>
      <c r="H29" s="270"/>
      <c r="I29" s="271"/>
      <c r="J29" s="271"/>
      <c r="K29" s="272"/>
      <c r="L29" s="413">
        <f>+IF('Input Page'!$G$68="YES",Other!L28+15,0)</f>
        <v>345</v>
      </c>
      <c r="M29" s="134">
        <f t="shared" si="0"/>
        <v>70.640965615401896</v>
      </c>
      <c r="N29" s="134">
        <f t="shared" si="1"/>
        <v>133.18141772091727</v>
      </c>
      <c r="O29" s="134">
        <f t="shared" si="2"/>
        <v>23.2986156942438</v>
      </c>
      <c r="P29" s="134">
        <f t="shared" si="3"/>
        <v>107.31096317915643</v>
      </c>
      <c r="Q29" s="135">
        <f t="shared" si="4"/>
        <v>18.772865867290097</v>
      </c>
      <c r="R29" s="136">
        <f t="shared" si="18"/>
        <v>0.44637538070413812</v>
      </c>
      <c r="S29" s="137">
        <f t="shared" si="19"/>
        <v>3.8140000000000001</v>
      </c>
      <c r="T29" s="132">
        <f t="shared" si="20"/>
        <v>2.9212492385917237</v>
      </c>
      <c r="U29" s="133">
        <f t="shared" si="21"/>
        <v>102.15062096740793</v>
      </c>
      <c r="W29" s="549" t="str">
        <f t="shared" si="22"/>
        <v>Max @ Front</v>
      </c>
      <c r="X29" s="76">
        <f t="shared" si="23"/>
        <v>21.035740780766947</v>
      </c>
      <c r="Y29" s="76">
        <f t="shared" si="24"/>
        <v>120.24619045003685</v>
      </c>
      <c r="Z29" s="2"/>
      <c r="AA29" s="89">
        <f t="shared" si="5"/>
        <v>208.8851966058985</v>
      </c>
      <c r="AB29" s="90">
        <f t="shared" si="25"/>
        <v>0.44637538070413812</v>
      </c>
      <c r="AC29" s="91">
        <f t="shared" si="6"/>
        <v>3.8140000000000001</v>
      </c>
      <c r="AD29" s="92">
        <f t="shared" si="7"/>
        <v>2.9212492385917237</v>
      </c>
      <c r="AE29" s="43">
        <f t="shared" si="8"/>
        <v>102.15062096740793</v>
      </c>
      <c r="AF29" s="2"/>
      <c r="AG29" s="89">
        <f t="shared" si="9"/>
        <v>168.30930339410145</v>
      </c>
      <c r="AH29" s="90">
        <f t="shared" si="26"/>
        <v>0.44637538070413812</v>
      </c>
      <c r="AI29" s="91">
        <f t="shared" si="10"/>
        <v>3.8140000000000001</v>
      </c>
      <c r="AJ29" s="92">
        <f t="shared" si="11"/>
        <v>2.9212492385917237</v>
      </c>
      <c r="AK29" s="550">
        <f t="shared" si="12"/>
        <v>82.307890341970889</v>
      </c>
      <c r="AL29" s="42"/>
      <c r="AM29" s="525">
        <f t="shared" si="13"/>
        <v>345</v>
      </c>
      <c r="AN29" s="526"/>
      <c r="AO29" s="54">
        <f t="shared" si="43"/>
        <v>98.1</v>
      </c>
      <c r="AP29" s="75">
        <f t="shared" si="43"/>
        <v>0</v>
      </c>
      <c r="AQ29" s="75">
        <f t="shared" si="43"/>
        <v>0</v>
      </c>
      <c r="AR29" s="53">
        <f t="shared" si="43"/>
        <v>0</v>
      </c>
      <c r="AS29" s="55">
        <f t="shared" si="43"/>
        <v>0</v>
      </c>
      <c r="AT29" s="2"/>
      <c r="AU29" s="51">
        <f t="shared" si="14"/>
        <v>279.09449999999998</v>
      </c>
      <c r="AV29" s="50">
        <f t="shared" si="15"/>
        <v>-7.5571177504393683E-2</v>
      </c>
      <c r="AW29" s="50">
        <f t="shared" si="16"/>
        <v>0.64480400497718982</v>
      </c>
      <c r="AX29" s="69">
        <f t="shared" si="28"/>
        <v>-6.6845835853794027</v>
      </c>
      <c r="AY29" s="73">
        <f t="shared" si="29"/>
        <v>0.64921738093186043</v>
      </c>
      <c r="AZ29" s="527"/>
      <c r="BA29" s="58">
        <f t="shared" si="30"/>
        <v>-0.23988370892104688</v>
      </c>
      <c r="BB29" s="57">
        <f t="shared" si="31"/>
        <v>0.60327358130313213</v>
      </c>
      <c r="BC29" s="53">
        <f t="shared" si="32"/>
        <v>-168.370338537007</v>
      </c>
      <c r="BD29" s="55">
        <f t="shared" si="33"/>
        <v>-66.950223799465107</v>
      </c>
      <c r="BE29" s="2"/>
      <c r="BF29" s="54">
        <f t="shared" si="34"/>
        <v>-168.370338537007</v>
      </c>
      <c r="BG29" s="53">
        <f t="shared" si="34"/>
        <v>-66.950223799465107</v>
      </c>
      <c r="BH29" s="57">
        <f t="shared" si="35"/>
        <v>-0.17749522805731557</v>
      </c>
      <c r="BI29" s="129">
        <f t="shared" si="36"/>
        <v>0.44637538070413812</v>
      </c>
      <c r="BJ29" s="66" t="str">
        <f t="shared" si="17"/>
        <v>no</v>
      </c>
      <c r="BK29" s="2"/>
      <c r="BL29" s="70">
        <f t="shared" si="37"/>
        <v>181.19300032248711</v>
      </c>
      <c r="BM29" s="528">
        <f t="shared" si="38"/>
        <v>-21.684583585379428</v>
      </c>
      <c r="BN29" s="121"/>
      <c r="BO29" s="577">
        <f t="shared" si="39"/>
        <v>0.10757286548928217</v>
      </c>
      <c r="BP29" s="578">
        <f t="shared" si="40"/>
        <v>0.23407204022241118</v>
      </c>
      <c r="BR29" s="507" t="str">
        <f t="shared" si="41"/>
        <v>NO-OK</v>
      </c>
      <c r="BS29" s="512" t="str">
        <f t="shared" si="42"/>
        <v>NO-OK</v>
      </c>
    </row>
    <row r="30" spans="1:71" ht="15.75" customHeight="1" thickBot="1" x14ac:dyDescent="0.25">
      <c r="A30" s="265"/>
      <c r="B30" s="266"/>
      <c r="C30" s="267"/>
      <c r="D30" s="268"/>
      <c r="E30" s="269"/>
      <c r="F30" s="266"/>
      <c r="G30" s="182"/>
      <c r="H30" s="270"/>
      <c r="I30" s="271"/>
      <c r="J30" s="271"/>
      <c r="K30" s="272"/>
      <c r="L30" s="109"/>
      <c r="M30" s="105"/>
      <c r="N30" s="105"/>
      <c r="O30" s="105"/>
      <c r="P30" s="105"/>
      <c r="Q30" s="105"/>
      <c r="R30" s="917" t="s">
        <v>168</v>
      </c>
      <c r="S30" s="918"/>
      <c r="T30" s="150">
        <f>+INDEX(T6:T29,MATCH(U30,U6:U29,0))</f>
        <v>3.0601938661995667</v>
      </c>
      <c r="U30" s="151">
        <f>MAX(U6:U29)</f>
        <v>103.93320587015738</v>
      </c>
      <c r="W30" s="551"/>
      <c r="X30" s="552">
        <f t="shared" si="23"/>
        <v>17.620829092807409</v>
      </c>
      <c r="Y30" s="552">
        <f t="shared" si="24"/>
        <v>123.66110213799639</v>
      </c>
      <c r="Z30" s="544"/>
      <c r="AA30" s="553">
        <f t="shared" si="5"/>
        <v>194.98861363636362</v>
      </c>
      <c r="AB30" s="554">
        <f t="shared" si="25"/>
        <v>0.47710465387779061</v>
      </c>
      <c r="AC30" s="555" t="e">
        <f t="shared" si="6"/>
        <v>#DIV/0!</v>
      </c>
      <c r="AD30" s="556">
        <f t="shared" si="7"/>
        <v>2.859790692244419</v>
      </c>
      <c r="AE30" s="557">
        <f t="shared" si="8"/>
        <v>0</v>
      </c>
      <c r="AF30" s="544"/>
      <c r="AG30" s="553">
        <f t="shared" si="9"/>
        <v>182.20588636363632</v>
      </c>
      <c r="AH30" s="554">
        <f t="shared" si="26"/>
        <v>0.47710465387779061</v>
      </c>
      <c r="AI30" s="555" t="e">
        <f t="shared" si="10"/>
        <v>#DIV/0!</v>
      </c>
      <c r="AJ30" s="556">
        <f t="shared" si="11"/>
        <v>2.859790692244419</v>
      </c>
      <c r="AK30" s="558">
        <f t="shared" si="12"/>
        <v>0</v>
      </c>
      <c r="AL30" s="42"/>
      <c r="AM30" s="529">
        <f>+AM29+15</f>
        <v>360</v>
      </c>
      <c r="AN30" s="530"/>
      <c r="AO30" s="531">
        <f t="shared" si="43"/>
        <v>98.1</v>
      </c>
      <c r="AP30" s="532">
        <f t="shared" si="43"/>
        <v>0</v>
      </c>
      <c r="AQ30" s="532">
        <f t="shared" si="43"/>
        <v>0</v>
      </c>
      <c r="AR30" s="533">
        <f t="shared" si="43"/>
        <v>0</v>
      </c>
      <c r="AS30" s="534">
        <f t="shared" si="43"/>
        <v>0</v>
      </c>
      <c r="AT30" s="535"/>
      <c r="AU30" s="536">
        <f t="shared" si="14"/>
        <v>279.09449999999998</v>
      </c>
      <c r="AV30" s="537">
        <f t="shared" si="15"/>
        <v>-7.5571177504393683E-2</v>
      </c>
      <c r="AW30" s="537">
        <f t="shared" si="16"/>
        <v>0.64480400497718982</v>
      </c>
      <c r="AX30" s="538">
        <f t="shared" si="28"/>
        <v>-6.6845835853794027</v>
      </c>
      <c r="AY30" s="539">
        <f t="shared" si="29"/>
        <v>0.64921738093186043</v>
      </c>
      <c r="AZ30" s="540"/>
      <c r="BA30" s="541">
        <f t="shared" si="30"/>
        <v>-7.5571177504394169E-2</v>
      </c>
      <c r="BB30" s="542">
        <f t="shared" si="31"/>
        <v>0.6448040049771897</v>
      </c>
      <c r="BC30" s="533">
        <f t="shared" si="32"/>
        <v>-179.96125136710626</v>
      </c>
      <c r="BD30" s="534">
        <f t="shared" si="33"/>
        <v>-21.091500000000138</v>
      </c>
      <c r="BE30" s="535"/>
      <c r="BF30" s="531">
        <f t="shared" si="34"/>
        <v>-179.96125136710626</v>
      </c>
      <c r="BG30" s="533">
        <f t="shared" si="34"/>
        <v>-21.091500000000138</v>
      </c>
      <c r="BH30" s="542">
        <f t="shared" si="35"/>
        <v>-5.5916775032510128E-2</v>
      </c>
      <c r="BI30" s="543">
        <f t="shared" si="36"/>
        <v>0.47710465387779061</v>
      </c>
      <c r="BJ30" s="542" t="str">
        <f t="shared" si="17"/>
        <v>no</v>
      </c>
      <c r="BK30" s="544"/>
      <c r="BL30" s="545">
        <f t="shared" si="37"/>
        <v>181.19300032248711</v>
      </c>
      <c r="BM30" s="546">
        <f t="shared" si="38"/>
        <v>-6.6845835853794471</v>
      </c>
      <c r="BN30" s="120"/>
      <c r="BO30" s="577">
        <f t="shared" si="39"/>
        <v>3.3888954565157656E-2</v>
      </c>
      <c r="BP30" s="578">
        <f t="shared" si="40"/>
        <v>0.25018597476549059</v>
      </c>
      <c r="BR30" s="513" t="str">
        <f t="shared" si="41"/>
        <v>NO-OK</v>
      </c>
      <c r="BS30" s="514" t="str">
        <f t="shared" si="42"/>
        <v>NO-OK</v>
      </c>
    </row>
    <row r="31" spans="1:71" ht="15.75" customHeight="1" thickBot="1" x14ac:dyDescent="0.3">
      <c r="A31" s="273"/>
      <c r="B31" s="274"/>
      <c r="C31" s="274"/>
      <c r="D31" s="275"/>
      <c r="E31" s="155"/>
      <c r="F31" s="155"/>
      <c r="G31" s="155"/>
      <c r="H31" s="155"/>
      <c r="I31" s="154"/>
      <c r="J31" s="154"/>
      <c r="K31" s="154"/>
      <c r="L31" s="110"/>
      <c r="M31" s="96"/>
      <c r="N31" s="96"/>
      <c r="O31" s="96"/>
      <c r="P31" s="96"/>
      <c r="Q31" s="96"/>
      <c r="R31" s="144"/>
      <c r="S31" s="148" t="s">
        <v>167</v>
      </c>
      <c r="T31" s="149"/>
      <c r="U31" s="152"/>
      <c r="AB31" s="2"/>
      <c r="AC31" s="2"/>
      <c r="AD31" s="2"/>
      <c r="AE31" s="2"/>
      <c r="AF31" s="2"/>
      <c r="AG31" s="2"/>
      <c r="AH31" s="2"/>
      <c r="AI31" s="2"/>
      <c r="AJ31" s="2"/>
      <c r="AK31" s="2"/>
      <c r="AL31" s="113"/>
      <c r="AM31" s="2"/>
      <c r="BF31" s="124" t="s">
        <v>178</v>
      </c>
      <c r="BG31" s="515" t="s">
        <v>178</v>
      </c>
      <c r="BH31" s="515" t="s">
        <v>178</v>
      </c>
      <c r="BI31" s="125" t="s">
        <v>178</v>
      </c>
      <c r="BO31" s="575" t="s">
        <v>178</v>
      </c>
      <c r="BP31" s="576" t="s">
        <v>178</v>
      </c>
    </row>
    <row r="32" spans="1:71" ht="15.75" customHeight="1" thickBot="1" x14ac:dyDescent="0.3">
      <c r="A32" s="844" t="s">
        <v>216</v>
      </c>
      <c r="B32" s="845"/>
      <c r="C32" s="845" t="s">
        <v>36</v>
      </c>
      <c r="D32" s="947"/>
      <c r="E32" s="948" t="s">
        <v>36</v>
      </c>
      <c r="F32" s="949"/>
      <c r="G32" s="949"/>
      <c r="H32" s="949"/>
      <c r="I32" s="949"/>
      <c r="J32" s="950"/>
      <c r="K32" s="154"/>
      <c r="L32" s="106" t="s">
        <v>161</v>
      </c>
      <c r="M32" s="99"/>
      <c r="N32" s="99"/>
      <c r="O32" s="99"/>
      <c r="P32" s="99"/>
      <c r="Q32" s="99"/>
      <c r="R32" s="131"/>
      <c r="S32" s="145">
        <f>+INDEX(J12:J15,MATCH(U32,I12:I15,0))</f>
        <v>1.5</v>
      </c>
      <c r="T32" s="146">
        <f>+S32/$I$27</f>
        <v>2.1428571428571428</v>
      </c>
      <c r="U32" s="147">
        <f>+I16</f>
        <v>0</v>
      </c>
      <c r="X32" s="946" t="s">
        <v>185</v>
      </c>
      <c r="Y32" s="946"/>
      <c r="Z32" s="419"/>
      <c r="AA32" s="962" t="s">
        <v>90</v>
      </c>
      <c r="AB32" s="962" t="s">
        <v>89</v>
      </c>
      <c r="AC32" s="962" t="s">
        <v>158</v>
      </c>
      <c r="AD32" s="963" t="s">
        <v>29</v>
      </c>
      <c r="AE32" s="424" t="s">
        <v>190</v>
      </c>
      <c r="AF32" s="2"/>
      <c r="AG32" s="2"/>
      <c r="AI32" s="2"/>
      <c r="AJ32" s="2"/>
      <c r="AK32" s="2"/>
      <c r="AL32" s="113"/>
      <c r="BF32" s="70">
        <f>+MAX(BF6:BF30)</f>
        <v>179.96125136710629</v>
      </c>
      <c r="BG32" s="504">
        <f t="shared" ref="BG32:BI32" si="51">+MAX(BG6:BG30)</f>
        <v>179.96125136710629</v>
      </c>
      <c r="BH32" s="505">
        <f t="shared" si="51"/>
        <v>0.47710465387779066</v>
      </c>
      <c r="BI32" s="506">
        <f t="shared" si="51"/>
        <v>0.47710465387779066</v>
      </c>
      <c r="BO32" s="577">
        <f>+MAX(BO6:BO30)</f>
        <v>0.28915433568350951</v>
      </c>
      <c r="BP32" s="578">
        <f>+MAX(BP6:BP30)</f>
        <v>0.25018597476549065</v>
      </c>
    </row>
    <row r="33" spans="1:68" ht="15.75" customHeight="1" thickBot="1" x14ac:dyDescent="0.3">
      <c r="A33" s="951" t="str">
        <f>IF(G11&gt;H11,"ERROR - AUXILIARY LINE FORCE EXCEEDS MAXIMUM","AuxiIiary Line Force OK")</f>
        <v>AuxiIiary Line Force OK</v>
      </c>
      <c r="B33" s="952"/>
      <c r="C33" s="952"/>
      <c r="D33" s="952"/>
      <c r="E33" s="940"/>
      <c r="F33" s="940"/>
      <c r="G33" s="940"/>
      <c r="H33" s="940"/>
      <c r="I33" s="940"/>
      <c r="J33" s="941"/>
      <c r="K33" s="154"/>
      <c r="L33" s="138" t="s">
        <v>162</v>
      </c>
      <c r="M33" s="139"/>
      <c r="N33" s="139"/>
      <c r="O33" s="139"/>
      <c r="P33" s="139"/>
      <c r="Q33" s="139"/>
      <c r="R33" s="140"/>
      <c r="S33" s="139">
        <f>+INDEX(J20:J23,MATCH(U33,I20:I23,0))</f>
        <v>0</v>
      </c>
      <c r="T33" s="141">
        <f>+S33/$I$27</f>
        <v>0</v>
      </c>
      <c r="U33" s="16">
        <f>+I24</f>
        <v>-9.9999999999999992E-25</v>
      </c>
      <c r="X33" s="946"/>
      <c r="Y33" s="946"/>
      <c r="Z33" s="419"/>
      <c r="AA33" s="962"/>
      <c r="AB33" s="962"/>
      <c r="AC33" s="962"/>
      <c r="AD33" s="963"/>
      <c r="AE33" s="425" t="s">
        <v>187</v>
      </c>
      <c r="AF33" s="2"/>
      <c r="AG33" s="2"/>
      <c r="AI33" s="2"/>
      <c r="AJ33" s="2"/>
      <c r="AK33" s="2"/>
      <c r="AL33" s="113"/>
      <c r="AO33" s="419" t="s">
        <v>209</v>
      </c>
      <c r="AP33" s="419"/>
      <c r="AQ33" s="419"/>
      <c r="AR33" s="419"/>
      <c r="AS33" s="419"/>
      <c r="BF33" s="507" t="s">
        <v>165</v>
      </c>
      <c r="BG33" s="569" t="s">
        <v>165</v>
      </c>
      <c r="BH33" s="505" t="s">
        <v>165</v>
      </c>
      <c r="BI33" s="506" t="s">
        <v>165</v>
      </c>
      <c r="BO33" s="507" t="s">
        <v>165</v>
      </c>
      <c r="BP33" s="512" t="s">
        <v>165</v>
      </c>
    </row>
    <row r="34" spans="1:68" ht="15.75" customHeight="1" thickBot="1" x14ac:dyDescent="0.3">
      <c r="A34" s="938" t="str">
        <f>IF(G9&gt;H9,"ERROR - EXTRACTION FORCE EXCEEDS MAXIMUM","Extraction Force OK")</f>
        <v>Extraction Force OK</v>
      </c>
      <c r="B34" s="939"/>
      <c r="C34" s="939"/>
      <c r="D34" s="939"/>
      <c r="E34" s="942"/>
      <c r="F34" s="942"/>
      <c r="G34" s="942"/>
      <c r="H34" s="942"/>
      <c r="I34" s="942"/>
      <c r="J34" s="943"/>
      <c r="K34" s="154"/>
      <c r="L34" s="17"/>
      <c r="M34" s="18"/>
      <c r="N34" s="18"/>
      <c r="O34" s="18"/>
      <c r="P34" s="957" t="s">
        <v>30</v>
      </c>
      <c r="Q34" s="958"/>
      <c r="R34" s="958"/>
      <c r="S34" s="958"/>
      <c r="T34" s="142">
        <f>+INDEX(T30:T33,MATCH(U34,U30:U33,0))</f>
        <v>3.0601938661995667</v>
      </c>
      <c r="U34" s="143">
        <f>+MAX(U30:U33)</f>
        <v>103.93320587015738</v>
      </c>
      <c r="X34" s="946"/>
      <c r="Y34" s="946"/>
      <c r="Z34" s="419"/>
      <c r="AA34" s="962"/>
      <c r="AB34" s="962"/>
      <c r="AC34" s="962"/>
      <c r="AD34" s="963"/>
      <c r="AE34" s="423" t="s">
        <v>188</v>
      </c>
      <c r="AF34" s="2"/>
      <c r="AG34" s="2"/>
      <c r="AH34" s="2"/>
      <c r="AI34" s="2"/>
      <c r="AJ34" s="2"/>
      <c r="AK34" s="2"/>
      <c r="AL34" s="113"/>
      <c r="AO34" s="503" t="s">
        <v>114</v>
      </c>
      <c r="AP34" s="503"/>
      <c r="AQ34" s="503"/>
      <c r="AR34" s="503" t="s">
        <v>117</v>
      </c>
      <c r="AS34" s="477"/>
      <c r="BF34" s="508">
        <f>+MIN(BF6:BF30)</f>
        <v>-179.96125136710629</v>
      </c>
      <c r="BG34" s="509">
        <f t="shared" ref="BG34:BI34" si="52">+MIN(BG6:BG30)</f>
        <v>-179.96125136710626</v>
      </c>
      <c r="BH34" s="510">
        <f t="shared" si="52"/>
        <v>-0.47710465387779061</v>
      </c>
      <c r="BI34" s="511">
        <f t="shared" si="52"/>
        <v>-0.47710465387779066</v>
      </c>
      <c r="BO34" s="122">
        <f>+MIN(BO6:BO30)</f>
        <v>3.3888954565157434E-2</v>
      </c>
      <c r="BP34" s="123">
        <f>+MIN(BP6:BP30)</f>
        <v>2.9321853713953704E-2</v>
      </c>
    </row>
    <row r="35" spans="1:68" ht="15.75" customHeight="1" x14ac:dyDescent="0.25">
      <c r="A35" s="938" t="str">
        <f>IF(G10&lt;H10,"ERROR - PENETRATION FORCE EXCEEDS MAXIMUM",IF(G10&gt;0,"ERROR - PENETRATION FORCE MUST BE -ve","Penetration Force OK"))</f>
        <v>Penetration Force OK</v>
      </c>
      <c r="B35" s="939"/>
      <c r="C35" s="939"/>
      <c r="D35" s="939"/>
      <c r="E35" s="942"/>
      <c r="F35" s="942"/>
      <c r="G35" s="942"/>
      <c r="H35" s="942"/>
      <c r="I35" s="942"/>
      <c r="J35" s="943"/>
      <c r="K35" s="154"/>
      <c r="L35" s="97"/>
      <c r="M35" s="98"/>
      <c r="N35" s="98"/>
      <c r="O35" s="98"/>
      <c r="P35" s="100"/>
      <c r="Q35" s="101"/>
      <c r="R35" s="101"/>
      <c r="S35" s="101"/>
      <c r="T35" s="100"/>
      <c r="U35" s="102"/>
      <c r="X35" s="419" t="s">
        <v>179</v>
      </c>
      <c r="Y35" s="419"/>
      <c r="Z35" s="419"/>
      <c r="AA35" s="419"/>
      <c r="AB35" s="419"/>
      <c r="AC35" s="419"/>
      <c r="AD35" s="419"/>
      <c r="AE35" s="423"/>
      <c r="AF35" s="2"/>
      <c r="AG35" s="2"/>
      <c r="AJ35" s="2"/>
      <c r="AK35" s="2"/>
      <c r="AL35" s="113"/>
      <c r="AO35" s="503" t="s">
        <v>115</v>
      </c>
      <c r="AP35" s="503" t="s">
        <v>116</v>
      </c>
      <c r="AQ35" s="503"/>
      <c r="AR35" s="503" t="s">
        <v>115</v>
      </c>
      <c r="AS35" s="503" t="s">
        <v>116</v>
      </c>
    </row>
    <row r="36" spans="1:68" ht="15.75" customHeight="1" x14ac:dyDescent="0.25">
      <c r="A36" s="938" t="str">
        <f>+IF(AE40=0,"Slewing Footpad Forces OK","ERROR - With Slewing Footpad Forces")</f>
        <v>Slewing Footpad Forces OK</v>
      </c>
      <c r="B36" s="939"/>
      <c r="C36" s="939"/>
      <c r="D36" s="939"/>
      <c r="E36" s="942"/>
      <c r="F36" s="942"/>
      <c r="G36" s="942"/>
      <c r="H36" s="942"/>
      <c r="I36" s="942"/>
      <c r="J36" s="943"/>
      <c r="K36" s="154"/>
      <c r="L36" s="97" t="s">
        <v>232</v>
      </c>
      <c r="M36" s="98"/>
      <c r="N36" s="15"/>
      <c r="O36" s="15"/>
      <c r="Q36" s="126">
        <f>+BO32</f>
        <v>0.28915433568350951</v>
      </c>
      <c r="R36" s="101"/>
      <c r="S36" s="101"/>
      <c r="T36" s="100"/>
      <c r="U36" s="102"/>
      <c r="X36" s="916" t="s">
        <v>74</v>
      </c>
      <c r="Y36" s="916"/>
      <c r="Z36" s="419"/>
      <c r="AA36" s="420">
        <f>+G12</f>
        <v>0</v>
      </c>
      <c r="AB36" s="420">
        <f t="shared" ref="AB36:AD39" si="53">+H12</f>
        <v>-450</v>
      </c>
      <c r="AC36" s="420">
        <f t="shared" si="53"/>
        <v>0</v>
      </c>
      <c r="AD36" s="420">
        <f t="shared" si="53"/>
        <v>1.5</v>
      </c>
      <c r="AE36" s="419">
        <f>+IF(AA36&gt;0,1,IF(AA36&lt;AB36,1,0))</f>
        <v>0</v>
      </c>
      <c r="AO36" s="503">
        <f>+-1*(I28+I27)/2</f>
        <v>-2</v>
      </c>
      <c r="AP36" s="503">
        <f>+I26/2</f>
        <v>1.907</v>
      </c>
      <c r="AQ36" s="503"/>
      <c r="AR36" s="503">
        <f>+AO36*-1</f>
        <v>2</v>
      </c>
      <c r="AS36" s="503">
        <f>+AP36</f>
        <v>1.907</v>
      </c>
    </row>
    <row r="37" spans="1:68" ht="15.75" customHeight="1" thickBot="1" x14ac:dyDescent="0.3">
      <c r="A37" s="938" t="str">
        <f>+IF(AE41=0,"Non-Slewing Footpad Forces OK","ERROR - With Non-Slewing Footpad Forces")</f>
        <v>Non-Slewing Footpad Forces OK</v>
      </c>
      <c r="B37" s="939"/>
      <c r="C37" s="939"/>
      <c r="D37" s="939"/>
      <c r="E37" s="944"/>
      <c r="F37" s="944"/>
      <c r="G37" s="944"/>
      <c r="H37" s="944"/>
      <c r="I37" s="944"/>
      <c r="J37" s="945"/>
      <c r="K37" s="154"/>
      <c r="L37" s="97" t="s">
        <v>231</v>
      </c>
      <c r="M37" s="98"/>
      <c r="N37" s="118"/>
      <c r="O37" s="103"/>
      <c r="Q37" s="126">
        <f>+BP32</f>
        <v>0.25018597476549065</v>
      </c>
      <c r="R37" s="101"/>
      <c r="S37" s="101"/>
      <c r="T37" s="100"/>
      <c r="U37" s="102"/>
      <c r="X37" s="916" t="s">
        <v>75</v>
      </c>
      <c r="Y37" s="916"/>
      <c r="Z37" s="419"/>
      <c r="AA37" s="420">
        <f t="shared" ref="AA37:AA38" si="54">+G13</f>
        <v>0</v>
      </c>
      <c r="AB37" s="420">
        <f t="shared" si="53"/>
        <v>0</v>
      </c>
      <c r="AC37" s="420">
        <f t="shared" si="53"/>
        <v>-9.9999999999999992E-25</v>
      </c>
      <c r="AD37" s="420">
        <f t="shared" si="53"/>
        <v>0</v>
      </c>
      <c r="AE37" s="419">
        <f t="shared" ref="AE37:AE45" si="55">+IF(AA37&gt;0,1,IF(AA37&lt;AB37,1,0))</f>
        <v>0</v>
      </c>
      <c r="AO37" s="503">
        <f>+-1*(I28/2-I27/2)</f>
        <v>-1.2999999999999998</v>
      </c>
      <c r="AP37" s="503">
        <f>+I26/2</f>
        <v>1.907</v>
      </c>
      <c r="AQ37" s="503"/>
      <c r="AR37" s="503">
        <f t="shared" ref="AR37" si="56">+AO37*-1</f>
        <v>1.2999999999999998</v>
      </c>
      <c r="AS37" s="503">
        <f t="shared" ref="AS37" si="57">+AP37</f>
        <v>1.907</v>
      </c>
    </row>
    <row r="38" spans="1:68" ht="15.75" customHeight="1" x14ac:dyDescent="0.25">
      <c r="A38" s="158"/>
      <c r="B38" s="154"/>
      <c r="C38" s="154"/>
      <c r="D38" s="155"/>
      <c r="E38" s="155"/>
      <c r="F38" s="155"/>
      <c r="G38" s="155"/>
      <c r="H38" s="155"/>
      <c r="I38" s="154"/>
      <c r="J38" s="154"/>
      <c r="K38" s="154"/>
      <c r="L38" s="97" t="s">
        <v>166</v>
      </c>
      <c r="M38" s="98"/>
      <c r="N38" s="118"/>
      <c r="P38" s="100"/>
      <c r="Q38" s="103" t="str">
        <f>+IF(MIN(O6:O29)&lt;=0,"Track(s) lifting",IF(MIN(Q6:Q29)&lt;=0,"Track(s) lifting","None"))</f>
        <v>None</v>
      </c>
      <c r="R38" s="101"/>
      <c r="S38" s="101"/>
      <c r="T38" s="100"/>
      <c r="U38" s="102"/>
      <c r="X38" s="916" t="s">
        <v>77</v>
      </c>
      <c r="Y38" s="916"/>
      <c r="Z38" s="419"/>
      <c r="AA38" s="420">
        <f t="shared" si="54"/>
        <v>0</v>
      </c>
      <c r="AB38" s="420">
        <f t="shared" si="53"/>
        <v>0</v>
      </c>
      <c r="AC38" s="420">
        <f t="shared" si="53"/>
        <v>-9.9999999999999992E-25</v>
      </c>
      <c r="AD38" s="420">
        <f t="shared" si="53"/>
        <v>0</v>
      </c>
      <c r="AE38" s="419">
        <f t="shared" si="55"/>
        <v>0</v>
      </c>
      <c r="AO38" s="503">
        <f>+AO37</f>
        <v>-1.2999999999999998</v>
      </c>
      <c r="AP38" s="503">
        <f>+-1*AP37</f>
        <v>-1.907</v>
      </c>
      <c r="AQ38" s="503"/>
      <c r="AR38" s="503">
        <f>+AO38*-1</f>
        <v>1.2999999999999998</v>
      </c>
      <c r="AS38" s="503">
        <f>+AP38</f>
        <v>-1.907</v>
      </c>
    </row>
    <row r="39" spans="1:68" ht="15.75" customHeight="1" x14ac:dyDescent="0.25">
      <c r="A39" s="158"/>
      <c r="B39" s="154"/>
      <c r="C39" s="154"/>
      <c r="D39" s="155"/>
      <c r="E39" s="155"/>
      <c r="F39" s="155"/>
      <c r="G39" s="155"/>
      <c r="H39" s="155"/>
      <c r="I39" s="154"/>
      <c r="J39" s="154"/>
      <c r="K39" s="154"/>
      <c r="L39" s="107" t="s">
        <v>163</v>
      </c>
      <c r="M39" s="103"/>
      <c r="N39" s="15"/>
      <c r="P39" s="103"/>
      <c r="Q39" s="103" t="str">
        <f>IF($I$16=-1E+24,"No Slewing Foot Pads Deployed",IF(U32&gt;MAX(U6:U29),"ERROR - Slewing Foot Pad Pressure Exceeds Track Pressure","Slewing Foot Pad Pressure OK"))</f>
        <v>Slewing Foot Pad Pressure OK</v>
      </c>
      <c r="R39" s="103"/>
      <c r="S39" s="103"/>
      <c r="T39" s="103"/>
      <c r="U39" s="104"/>
      <c r="X39" s="916" t="s">
        <v>78</v>
      </c>
      <c r="Y39" s="916"/>
      <c r="Z39" s="419"/>
      <c r="AA39" s="420">
        <f>+G15</f>
        <v>0</v>
      </c>
      <c r="AB39" s="420">
        <f t="shared" si="53"/>
        <v>0</v>
      </c>
      <c r="AC39" s="420">
        <f t="shared" si="53"/>
        <v>-9.9999999999999992E-25</v>
      </c>
      <c r="AD39" s="420">
        <f>+J15</f>
        <v>0</v>
      </c>
      <c r="AE39" s="419">
        <f t="shared" si="55"/>
        <v>0</v>
      </c>
      <c r="AO39" s="503">
        <f>+AO36</f>
        <v>-2</v>
      </c>
      <c r="AP39" s="503">
        <f>+-1*AP36</f>
        <v>-1.907</v>
      </c>
      <c r="AQ39" s="503"/>
      <c r="AR39" s="503">
        <f>+AO39*-1</f>
        <v>2</v>
      </c>
      <c r="AS39" s="503">
        <f>+AP39</f>
        <v>-1.907</v>
      </c>
    </row>
    <row r="40" spans="1:68" ht="15.75" customHeight="1" thickBot="1" x14ac:dyDescent="0.3">
      <c r="A40" s="158"/>
      <c r="B40" s="154"/>
      <c r="C40" s="154"/>
      <c r="D40" s="155"/>
      <c r="E40" s="155"/>
      <c r="F40" s="155"/>
      <c r="G40" s="155"/>
      <c r="H40" s="155"/>
      <c r="I40" s="154"/>
      <c r="J40" s="154"/>
      <c r="K40" s="154"/>
      <c r="L40" s="107" t="s">
        <v>164</v>
      </c>
      <c r="M40" s="103"/>
      <c r="N40" s="15"/>
      <c r="P40" s="103"/>
      <c r="Q40" s="103" t="str">
        <f>IF($I$24=-1E+24,"No Non-Slewing Foot Pads Deployed",IF(U33&gt;MAX(U6:U29),"ERROR - Non-Slewing Foot Pad Pressure Exceeds Track Pressure","Non-Slewing Foot Pad Pressure OK"))</f>
        <v>Non-Slewing Foot Pad Pressure OK</v>
      </c>
      <c r="R40" s="103"/>
      <c r="S40" s="103"/>
      <c r="T40" s="103"/>
      <c r="U40" s="104"/>
      <c r="X40" s="419"/>
      <c r="Y40" s="419"/>
      <c r="Z40" s="419"/>
      <c r="AA40" s="419"/>
      <c r="AB40" s="419"/>
      <c r="AC40" s="419"/>
      <c r="AD40" s="421" t="s">
        <v>189</v>
      </c>
      <c r="AE40" s="422">
        <f>+MAX(AE36:AE39)</f>
        <v>0</v>
      </c>
      <c r="AO40" s="503">
        <f>+AO36</f>
        <v>-2</v>
      </c>
      <c r="AP40" s="503">
        <f>+AP36</f>
        <v>1.907</v>
      </c>
      <c r="AQ40" s="477"/>
      <c r="AR40" s="503">
        <f>+AR36</f>
        <v>2</v>
      </c>
      <c r="AS40" s="503">
        <f>+AS36</f>
        <v>1.907</v>
      </c>
    </row>
    <row r="41" spans="1:68" ht="15.75" customHeight="1" thickBot="1" x14ac:dyDescent="0.3">
      <c r="A41" s="153" t="s">
        <v>44</v>
      </c>
      <c r="B41" s="154"/>
      <c r="C41" s="154"/>
      <c r="D41" s="155"/>
      <c r="E41" s="155"/>
      <c r="F41" s="155"/>
      <c r="G41" s="155"/>
      <c r="H41" s="155"/>
      <c r="I41" s="154"/>
      <c r="J41" s="154"/>
      <c r="K41" s="154"/>
      <c r="L41" s="19"/>
      <c r="M41" s="20"/>
      <c r="N41" s="20"/>
      <c r="O41" s="20"/>
      <c r="P41" s="29"/>
      <c r="Q41" s="953" t="s">
        <v>54</v>
      </c>
      <c r="R41" s="954"/>
      <c r="S41" s="954"/>
      <c r="T41" s="955"/>
      <c r="U41" s="159">
        <v>0</v>
      </c>
      <c r="X41" s="419" t="s">
        <v>186</v>
      </c>
      <c r="Y41" s="419"/>
      <c r="Z41" s="419"/>
      <c r="AA41" s="419"/>
      <c r="AB41" s="419"/>
      <c r="AC41" s="419"/>
      <c r="AD41" s="419"/>
      <c r="AE41" s="419"/>
    </row>
    <row r="42" spans="1:68" ht="15.75" customHeight="1" x14ac:dyDescent="0.2">
      <c r="A42" s="956" t="s">
        <v>170</v>
      </c>
      <c r="B42" s="956"/>
      <c r="C42" s="956"/>
      <c r="D42" s="956"/>
      <c r="E42" s="956"/>
      <c r="F42" s="956"/>
      <c r="G42" s="956"/>
      <c r="H42" s="956"/>
      <c r="I42" s="956"/>
      <c r="J42" s="956"/>
      <c r="K42" s="956"/>
      <c r="R42" s="23"/>
      <c r="S42" s="22"/>
      <c r="T42" s="22"/>
      <c r="X42" s="916" t="s">
        <v>74</v>
      </c>
      <c r="Y42" s="916"/>
      <c r="Z42" s="419"/>
      <c r="AA42" s="420">
        <f>+G20</f>
        <v>0</v>
      </c>
      <c r="AB42" s="420">
        <f t="shared" ref="AB42:AD45" si="58">+H20</f>
        <v>0</v>
      </c>
      <c r="AC42" s="420">
        <f t="shared" si="58"/>
        <v>-9.9999999999999992E-25</v>
      </c>
      <c r="AD42" s="420">
        <f t="shared" si="58"/>
        <v>0</v>
      </c>
      <c r="AE42" s="419">
        <f t="shared" si="55"/>
        <v>0</v>
      </c>
    </row>
    <row r="43" spans="1:68" ht="15.75" customHeight="1" x14ac:dyDescent="0.2">
      <c r="A43" s="478" t="s">
        <v>169</v>
      </c>
      <c r="B43" s="154"/>
      <c r="C43" s="154"/>
      <c r="D43" s="154"/>
      <c r="E43" s="155"/>
      <c r="F43" s="155"/>
      <c r="G43" s="155"/>
      <c r="H43" s="155"/>
      <c r="I43" s="154"/>
      <c r="J43" s="154"/>
      <c r="K43" s="154"/>
      <c r="X43" s="916" t="s">
        <v>75</v>
      </c>
      <c r="Y43" s="916"/>
      <c r="Z43" s="419"/>
      <c r="AA43" s="420">
        <f t="shared" ref="AA43:AA45" si="59">+G21</f>
        <v>0</v>
      </c>
      <c r="AB43" s="420">
        <f t="shared" si="58"/>
        <v>0</v>
      </c>
      <c r="AC43" s="420">
        <f t="shared" si="58"/>
        <v>-9.9999999999999992E-25</v>
      </c>
      <c r="AD43" s="420">
        <f t="shared" si="58"/>
        <v>0</v>
      </c>
      <c r="AE43" s="419">
        <f t="shared" si="55"/>
        <v>0</v>
      </c>
    </row>
    <row r="44" spans="1:68" ht="15.75" customHeight="1" x14ac:dyDescent="0.2">
      <c r="A44" s="478" t="s">
        <v>171</v>
      </c>
      <c r="B44" s="154"/>
      <c r="C44" s="154"/>
      <c r="D44" s="154"/>
      <c r="E44" s="155"/>
      <c r="F44" s="155"/>
      <c r="G44" s="155"/>
      <c r="H44" s="155"/>
      <c r="I44" s="154"/>
      <c r="J44" s="154"/>
      <c r="K44" s="154"/>
      <c r="X44" s="916" t="s">
        <v>77</v>
      </c>
      <c r="Y44" s="916"/>
      <c r="Z44" s="419"/>
      <c r="AA44" s="420">
        <f t="shared" si="59"/>
        <v>0</v>
      </c>
      <c r="AB44" s="420">
        <f t="shared" si="58"/>
        <v>0</v>
      </c>
      <c r="AC44" s="420">
        <f t="shared" si="58"/>
        <v>-9.9999999999999992E-25</v>
      </c>
      <c r="AD44" s="420">
        <f t="shared" si="58"/>
        <v>0</v>
      </c>
      <c r="AE44" s="419">
        <f t="shared" si="55"/>
        <v>0</v>
      </c>
    </row>
    <row r="45" spans="1:68" ht="15.75" customHeight="1" x14ac:dyDescent="0.2">
      <c r="A45" s="478" t="s">
        <v>172</v>
      </c>
      <c r="B45" s="154"/>
      <c r="C45" s="154"/>
      <c r="D45" s="154"/>
      <c r="E45" s="155"/>
      <c r="F45" s="155"/>
      <c r="G45" s="155"/>
      <c r="H45" s="155"/>
      <c r="I45" s="154"/>
      <c r="J45" s="154"/>
      <c r="K45" s="154"/>
      <c r="X45" s="916" t="s">
        <v>78</v>
      </c>
      <c r="Y45" s="916"/>
      <c r="Z45" s="419"/>
      <c r="AA45" s="420">
        <f t="shared" si="59"/>
        <v>0</v>
      </c>
      <c r="AB45" s="420">
        <f t="shared" si="58"/>
        <v>0</v>
      </c>
      <c r="AC45" s="420">
        <f t="shared" si="58"/>
        <v>-9.9999999999999992E-25</v>
      </c>
      <c r="AD45" s="420">
        <f>+J23</f>
        <v>0</v>
      </c>
      <c r="AE45" s="419">
        <f t="shared" si="55"/>
        <v>0</v>
      </c>
    </row>
    <row r="46" spans="1:68" ht="15.75" customHeight="1" x14ac:dyDescent="0.2">
      <c r="A46" s="478" t="s">
        <v>173</v>
      </c>
      <c r="B46" s="154"/>
      <c r="C46" s="154"/>
      <c r="D46" s="154"/>
      <c r="E46" s="155"/>
      <c r="F46" s="155"/>
      <c r="G46" s="155"/>
      <c r="H46" s="155"/>
      <c r="I46" s="154"/>
      <c r="J46" s="154"/>
      <c r="K46" s="154"/>
      <c r="AD46" s="421" t="s">
        <v>189</v>
      </c>
      <c r="AE46" s="422">
        <f>+MAX(AE42:AE45)</f>
        <v>0</v>
      </c>
    </row>
    <row r="47" spans="1:68" ht="15.75" customHeight="1" x14ac:dyDescent="0.25">
      <c r="A47" s="478"/>
      <c r="B47" s="154"/>
      <c r="C47" s="154"/>
      <c r="D47" s="155"/>
      <c r="E47" s="155"/>
      <c r="F47" s="155"/>
      <c r="G47" s="157"/>
      <c r="H47" s="155"/>
      <c r="I47" s="154"/>
      <c r="J47" s="154"/>
      <c r="K47" s="154"/>
      <c r="R47" s="23"/>
    </row>
    <row r="48" spans="1:68" ht="15.75" customHeight="1" x14ac:dyDescent="0.2">
      <c r="A48" s="478" t="s">
        <v>49</v>
      </c>
      <c r="B48" s="154"/>
      <c r="C48" s="154"/>
      <c r="D48" s="155"/>
      <c r="E48" s="155"/>
      <c r="F48" s="155"/>
      <c r="G48" s="155"/>
      <c r="H48" s="155"/>
      <c r="I48" s="154"/>
      <c r="J48" s="154"/>
      <c r="K48" s="154"/>
      <c r="R48" s="23"/>
    </row>
    <row r="49" spans="1:17" ht="15.75" customHeight="1" x14ac:dyDescent="0.2">
      <c r="A49" s="478" t="s">
        <v>48</v>
      </c>
      <c r="B49" s="154"/>
      <c r="C49" s="154"/>
      <c r="D49" s="155"/>
      <c r="E49" s="155"/>
      <c r="F49" s="155"/>
      <c r="G49" s="155"/>
      <c r="H49" s="155"/>
      <c r="I49" s="154"/>
      <c r="J49" s="154"/>
      <c r="K49" s="154"/>
      <c r="M49" s="1"/>
      <c r="N49" s="1"/>
      <c r="O49" s="1"/>
      <c r="P49" s="1"/>
      <c r="Q49" s="1"/>
    </row>
    <row r="50" spans="1:17" ht="15.75" customHeight="1" x14ac:dyDescent="0.2">
      <c r="A50" s="154" t="s">
        <v>45</v>
      </c>
      <c r="B50" s="154"/>
      <c r="C50" s="154"/>
      <c r="D50" s="155"/>
      <c r="E50" s="155"/>
      <c r="F50" s="155"/>
      <c r="G50" s="155"/>
      <c r="H50" s="155"/>
      <c r="I50" s="154"/>
      <c r="J50" s="154"/>
      <c r="K50" s="154"/>
      <c r="L50" s="24"/>
    </row>
    <row r="51" spans="1:17" ht="15.75" customHeight="1" x14ac:dyDescent="0.2">
      <c r="A51" s="154" t="s">
        <v>46</v>
      </c>
      <c r="B51" s="154"/>
      <c r="C51" s="154"/>
      <c r="D51" s="155"/>
      <c r="E51" s="155"/>
      <c r="F51" s="155"/>
      <c r="G51" s="155"/>
      <c r="H51" s="155"/>
      <c r="I51" s="154"/>
      <c r="J51" s="154"/>
      <c r="K51" s="154"/>
    </row>
    <row r="52" spans="1:17" ht="15.75" customHeight="1" x14ac:dyDescent="0.2">
      <c r="A52" s="158"/>
      <c r="B52" s="154"/>
      <c r="C52" s="154"/>
      <c r="D52" s="155"/>
      <c r="E52" s="155"/>
      <c r="F52" s="155"/>
      <c r="G52" s="155"/>
      <c r="H52" s="155"/>
      <c r="I52" s="154"/>
      <c r="J52" s="154"/>
      <c r="K52" s="154"/>
    </row>
    <row r="53" spans="1:17" ht="15.75" customHeight="1" x14ac:dyDescent="0.25">
      <c r="A53" s="276" t="s">
        <v>47</v>
      </c>
      <c r="B53" s="154"/>
      <c r="C53" s="155"/>
      <c r="D53" s="155"/>
      <c r="E53" s="155"/>
      <c r="F53" s="276" t="s">
        <v>64</v>
      </c>
      <c r="G53" s="155"/>
      <c r="H53" s="155"/>
      <c r="I53" s="154"/>
      <c r="J53" s="154"/>
      <c r="K53" s="154"/>
    </row>
    <row r="54" spans="1:17" ht="15.75" customHeight="1" x14ac:dyDescent="0.2">
      <c r="A54" s="1"/>
      <c r="D54" s="1"/>
      <c r="E54" s="1"/>
      <c r="F54" s="1"/>
      <c r="G54" s="1"/>
      <c r="K54" s="24"/>
    </row>
    <row r="55" spans="1:17" ht="15.75" customHeight="1" x14ac:dyDescent="0.2">
      <c r="G55" s="1"/>
    </row>
    <row r="56" spans="1:17" x14ac:dyDescent="0.2">
      <c r="G56" s="1"/>
    </row>
    <row r="57" spans="1:17" x14ac:dyDescent="0.2">
      <c r="G57" s="1"/>
    </row>
    <row r="58" spans="1:17" ht="15" x14ac:dyDescent="0.2">
      <c r="G58" s="1"/>
      <c r="L58" s="24"/>
    </row>
    <row r="59" spans="1:17" ht="15" x14ac:dyDescent="0.2">
      <c r="G59" s="1"/>
      <c r="L59" s="24"/>
    </row>
    <row r="60" spans="1:17" ht="15" x14ac:dyDescent="0.2">
      <c r="L60" s="24"/>
    </row>
    <row r="61" spans="1:17" ht="15" x14ac:dyDescent="0.2">
      <c r="L61" s="24"/>
    </row>
  </sheetData>
  <sheetProtection sheet="1" objects="1" scenarios="1"/>
  <mergeCells count="123">
    <mergeCell ref="X44:Y44"/>
    <mergeCell ref="X45:Y45"/>
    <mergeCell ref="X38:Y38"/>
    <mergeCell ref="X39:Y39"/>
    <mergeCell ref="Q41:T41"/>
    <mergeCell ref="A42:K42"/>
    <mergeCell ref="X42:Y42"/>
    <mergeCell ref="X43:Y43"/>
    <mergeCell ref="A35:D35"/>
    <mergeCell ref="E35:J35"/>
    <mergeCell ref="A36:D36"/>
    <mergeCell ref="E36:J36"/>
    <mergeCell ref="X36:Y36"/>
    <mergeCell ref="A37:D37"/>
    <mergeCell ref="E37:J37"/>
    <mergeCell ref="X37:Y37"/>
    <mergeCell ref="X32:Y34"/>
    <mergeCell ref="AA32:AA34"/>
    <mergeCell ref="AB32:AB34"/>
    <mergeCell ref="AC32:AC34"/>
    <mergeCell ref="AD32:AD34"/>
    <mergeCell ref="A33:D33"/>
    <mergeCell ref="E33:J33"/>
    <mergeCell ref="A34:D34"/>
    <mergeCell ref="E34:J34"/>
    <mergeCell ref="P34:S34"/>
    <mergeCell ref="R30:S30"/>
    <mergeCell ref="A32:D32"/>
    <mergeCell ref="E32:J32"/>
    <mergeCell ref="G24:H24"/>
    <mergeCell ref="G26:H26"/>
    <mergeCell ref="I26:J26"/>
    <mergeCell ref="A27:A28"/>
    <mergeCell ref="B27:B28"/>
    <mergeCell ref="C27:C28"/>
    <mergeCell ref="D27:D28"/>
    <mergeCell ref="E27:E28"/>
    <mergeCell ref="F27:F28"/>
    <mergeCell ref="G27:H27"/>
    <mergeCell ref="A24:A25"/>
    <mergeCell ref="B24:B25"/>
    <mergeCell ref="C24:C25"/>
    <mergeCell ref="D24:D25"/>
    <mergeCell ref="E24:E25"/>
    <mergeCell ref="F24:F25"/>
    <mergeCell ref="A18:F18"/>
    <mergeCell ref="G18:G19"/>
    <mergeCell ref="H18:H19"/>
    <mergeCell ref="I18:I19"/>
    <mergeCell ref="J18:J19"/>
    <mergeCell ref="AV4:AV5"/>
    <mergeCell ref="I27:J27"/>
    <mergeCell ref="G28:H28"/>
    <mergeCell ref="I28:J28"/>
    <mergeCell ref="G6:G7"/>
    <mergeCell ref="H6:H7"/>
    <mergeCell ref="O2:O5"/>
    <mergeCell ref="I10:I11"/>
    <mergeCell ref="J10:J11"/>
    <mergeCell ref="G16:H16"/>
    <mergeCell ref="A3:F3"/>
    <mergeCell ref="T3:U3"/>
    <mergeCell ref="AO3:AO5"/>
    <mergeCell ref="AP3:AP5"/>
    <mergeCell ref="AQ3:AQ5"/>
    <mergeCell ref="AM2:AM5"/>
    <mergeCell ref="AO2:AS2"/>
    <mergeCell ref="X2:X5"/>
    <mergeCell ref="Y2:Y5"/>
    <mergeCell ref="B1:B2"/>
    <mergeCell ref="C1:C2"/>
    <mergeCell ref="D1:D2"/>
    <mergeCell ref="E1:E2"/>
    <mergeCell ref="F1:F2"/>
    <mergeCell ref="L1:O1"/>
    <mergeCell ref="L2:L5"/>
    <mergeCell ref="M2:M5"/>
    <mergeCell ref="N2:N5"/>
    <mergeCell ref="BR2:BS2"/>
    <mergeCell ref="AS3:AS5"/>
    <mergeCell ref="AU3:AU5"/>
    <mergeCell ref="AV3:AW3"/>
    <mergeCell ref="AX3:AX5"/>
    <mergeCell ref="AE2:AE3"/>
    <mergeCell ref="AG2:AG3"/>
    <mergeCell ref="AH2:AH3"/>
    <mergeCell ref="AI2:AI3"/>
    <mergeCell ref="AJ2:AJ3"/>
    <mergeCell ref="AK2:AK3"/>
    <mergeCell ref="BO3:BO5"/>
    <mergeCell ref="BP3:BP5"/>
    <mergeCell ref="BR3:BS4"/>
    <mergeCell ref="AY3:AY5"/>
    <mergeCell ref="BA3:BA5"/>
    <mergeCell ref="BB3:BB5"/>
    <mergeCell ref="BC3:BC5"/>
    <mergeCell ref="BD3:BD5"/>
    <mergeCell ref="BF3:BF5"/>
    <mergeCell ref="AW4:AW5"/>
    <mergeCell ref="BH4:BH5"/>
    <mergeCell ref="BI4:BI5"/>
    <mergeCell ref="BJ4:BJ5"/>
    <mergeCell ref="AG1:AK1"/>
    <mergeCell ref="AM1:BM1"/>
    <mergeCell ref="P2:P5"/>
    <mergeCell ref="Q2:Q5"/>
    <mergeCell ref="R2:S2"/>
    <mergeCell ref="W2:W5"/>
    <mergeCell ref="BA2:BD2"/>
    <mergeCell ref="BF2:BI2"/>
    <mergeCell ref="BG3:BG5"/>
    <mergeCell ref="BL3:BL5"/>
    <mergeCell ref="BM3:BM5"/>
    <mergeCell ref="AR3:AR5"/>
    <mergeCell ref="AU2:AY2"/>
    <mergeCell ref="AA2:AA3"/>
    <mergeCell ref="AB2:AB3"/>
    <mergeCell ref="AC2:AC3"/>
    <mergeCell ref="AD2:AD3"/>
    <mergeCell ref="P1:S1"/>
    <mergeCell ref="T1:U2"/>
    <mergeCell ref="W1:Y1"/>
    <mergeCell ref="AA1:AE1"/>
  </mergeCells>
  <conditionalFormatting sqref="G25">
    <cfRule type="cellIs" dxfId="10" priority="13" operator="greaterThan">
      <formula>H25</formula>
    </cfRule>
  </conditionalFormatting>
  <conditionalFormatting sqref="G9">
    <cfRule type="cellIs" dxfId="9" priority="12" operator="greaterThan">
      <formula>$H$9</formula>
    </cfRule>
  </conditionalFormatting>
  <conditionalFormatting sqref="G11">
    <cfRule type="cellIs" dxfId="8" priority="11" operator="greaterThan">
      <formula>$H$11</formula>
    </cfRule>
  </conditionalFormatting>
  <conditionalFormatting sqref="G10">
    <cfRule type="cellIs" dxfId="7" priority="3" operator="greaterThan">
      <formula>0</formula>
    </cfRule>
    <cfRule type="cellIs" dxfId="6" priority="10" operator="lessThan">
      <formula>$H$10</formula>
    </cfRule>
  </conditionalFormatting>
  <conditionalFormatting sqref="W6:W29">
    <cfRule type="containsText" dxfId="5" priority="9" operator="containsText" text="Front">
      <formula>NOT(ISERROR(SEARCH("Front",W6)))</formula>
    </cfRule>
  </conditionalFormatting>
  <conditionalFormatting sqref="W6:W29">
    <cfRule type="containsText" dxfId="4" priority="8" operator="containsText" text="Rear">
      <formula>NOT(ISERROR(SEARCH("Rear",W6)))</formula>
    </cfRule>
  </conditionalFormatting>
  <conditionalFormatting sqref="G12:G15">
    <cfRule type="cellIs" dxfId="3" priority="6" operator="greaterThan">
      <formula>0</formula>
    </cfRule>
    <cfRule type="cellIs" dxfId="2" priority="7" operator="lessThan">
      <formula>$H12</formula>
    </cfRule>
  </conditionalFormatting>
  <conditionalFormatting sqref="G20:G23">
    <cfRule type="cellIs" dxfId="1" priority="4" operator="greaterThan">
      <formula>0</formula>
    </cfRule>
    <cfRule type="cellIs" dxfId="0" priority="5" operator="lessThan">
      <formula>$H20</formula>
    </cfRule>
  </conditionalFormatting>
  <dataValidations count="1">
    <dataValidation type="list" allowBlank="1" showInputMessage="1" showErrorMessage="1" sqref="U41">
      <formula1>"0,1,2"</formula1>
    </dataValidation>
  </dataValidations>
  <pageMargins left="0.7" right="0.7" top="0.75" bottom="0.75" header="0.3" footer="0.3"/>
  <pageSetup paperSize="9" scale="5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24"/>
  <sheetViews>
    <sheetView view="pageBreakPreview" zoomScale="75" zoomScaleNormal="70" zoomScaleSheetLayoutView="75" workbookViewId="0">
      <selection activeCell="O5" sqref="O5"/>
    </sheetView>
  </sheetViews>
  <sheetFormatPr defaultRowHeight="14.25" x14ac:dyDescent="0.2"/>
  <cols>
    <col min="1" max="1" width="32.875" style="25" customWidth="1"/>
    <col min="2" max="2" width="23.375" style="25" customWidth="1"/>
    <col min="3" max="4" width="11.875" style="25" customWidth="1"/>
    <col min="5" max="6" width="16.75" style="25" customWidth="1"/>
    <col min="7" max="8" width="17.875" style="25" customWidth="1"/>
    <col min="9" max="9" width="27.125" style="25" customWidth="1"/>
    <col min="10" max="16384" width="9" style="25"/>
  </cols>
  <sheetData>
    <row r="1" spans="1:11" ht="18.75" customHeight="1" thickTop="1" x14ac:dyDescent="0.2">
      <c r="A1" s="989" t="s">
        <v>15</v>
      </c>
      <c r="B1" s="990"/>
      <c r="C1" s="990"/>
      <c r="D1" s="990"/>
      <c r="E1" s="990"/>
      <c r="F1" s="990"/>
      <c r="G1" s="990"/>
      <c r="H1" s="991"/>
    </row>
    <row r="2" spans="1:11" ht="18.75" customHeight="1" thickBot="1" x14ac:dyDescent="0.25">
      <c r="A2" s="992"/>
      <c r="B2" s="993"/>
      <c r="C2" s="993"/>
      <c r="D2" s="993"/>
      <c r="E2" s="993"/>
      <c r="F2" s="993"/>
      <c r="G2" s="993"/>
      <c r="H2" s="994"/>
    </row>
    <row r="3" spans="1:11" ht="25.5" customHeight="1" thickTop="1" thickBot="1" x14ac:dyDescent="0.25">
      <c r="A3" s="750" t="s">
        <v>64</v>
      </c>
      <c r="B3" s="750"/>
      <c r="C3" s="750"/>
      <c r="D3" s="750"/>
      <c r="E3" s="750"/>
      <c r="F3" s="750"/>
      <c r="G3" s="750"/>
      <c r="H3" s="750"/>
    </row>
    <row r="4" spans="1:11" ht="21" customHeight="1" thickTop="1" x14ac:dyDescent="0.25">
      <c r="A4" s="690" t="s">
        <v>16</v>
      </c>
      <c r="B4" s="691"/>
      <c r="C4" s="995" t="str">
        <f>+'Input Page'!C4:E4</f>
        <v>EXAMPLE</v>
      </c>
      <c r="D4" s="995"/>
      <c r="E4" s="995"/>
      <c r="F4" s="637" t="s">
        <v>243</v>
      </c>
      <c r="G4" s="640" t="str">
        <f>+'Input Page'!G4</f>
        <v>ZX1000</v>
      </c>
      <c r="H4" s="641" t="str">
        <f>+'Input Page'!H4</f>
        <v>DE2001.2</v>
      </c>
    </row>
    <row r="5" spans="1:11" ht="18" customHeight="1" x14ac:dyDescent="0.25">
      <c r="A5" s="695" t="s">
        <v>20</v>
      </c>
      <c r="B5" s="696"/>
      <c r="C5" s="996" t="str">
        <f>+'Input Page'!C5:E5</f>
        <v>Example</v>
      </c>
      <c r="D5" s="996"/>
      <c r="E5" s="996"/>
      <c r="F5" s="160" t="s">
        <v>71</v>
      </c>
      <c r="G5" s="997">
        <f ca="1">+'Input Page'!G5:H5</f>
        <v>42530.744016898148</v>
      </c>
      <c r="H5" s="998"/>
    </row>
    <row r="6" spans="1:11" ht="23.25" customHeight="1" thickBot="1" x14ac:dyDescent="0.3">
      <c r="A6" s="697" t="s">
        <v>56</v>
      </c>
      <c r="B6" s="698"/>
      <c r="C6" s="984" t="str">
        <f>+'Input Page'!C6:E6</f>
        <v>Blank</v>
      </c>
      <c r="D6" s="984"/>
      <c r="E6" s="984"/>
      <c r="F6" s="589" t="s">
        <v>55</v>
      </c>
      <c r="G6" s="985" t="str">
        <f>+'Input Page'!G6:H6</f>
        <v>Blank</v>
      </c>
      <c r="H6" s="986"/>
    </row>
    <row r="7" spans="1:11" ht="18" customHeight="1" thickTop="1" thickBot="1" x14ac:dyDescent="0.3">
      <c r="A7" s="161"/>
      <c r="B7" s="161"/>
      <c r="C7" s="101"/>
      <c r="D7" s="101"/>
      <c r="E7" s="101"/>
      <c r="F7" s="163"/>
      <c r="G7" s="590"/>
      <c r="H7" s="590"/>
    </row>
    <row r="8" spans="1:11" ht="21" customHeight="1" thickTop="1" thickBot="1" x14ac:dyDescent="0.3">
      <c r="A8" s="277" t="s">
        <v>149</v>
      </c>
      <c r="B8" s="278"/>
      <c r="C8" s="278"/>
      <c r="D8" s="278"/>
      <c r="E8" s="278"/>
      <c r="F8" s="278"/>
      <c r="G8" s="278"/>
      <c r="H8" s="279"/>
    </row>
    <row r="9" spans="1:11" s="40" customFormat="1" ht="36" customHeight="1" thickBot="1" x14ac:dyDescent="0.25">
      <c r="A9" s="987" t="s">
        <v>17</v>
      </c>
      <c r="B9" s="988"/>
      <c r="C9" s="574" t="s">
        <v>0</v>
      </c>
      <c r="D9" s="574" t="s">
        <v>66</v>
      </c>
      <c r="E9" s="574" t="s">
        <v>67</v>
      </c>
      <c r="F9" s="574" t="s">
        <v>68</v>
      </c>
      <c r="G9" s="574" t="s">
        <v>69</v>
      </c>
      <c r="H9" s="430" t="s">
        <v>70</v>
      </c>
    </row>
    <row r="10" spans="1:11" ht="18.75" customHeight="1" x14ac:dyDescent="0.2">
      <c r="A10" s="431" t="s">
        <v>193</v>
      </c>
      <c r="B10" s="432"/>
      <c r="C10" s="432"/>
      <c r="D10" s="432"/>
      <c r="E10" s="432"/>
      <c r="F10" s="432"/>
      <c r="G10" s="433"/>
      <c r="H10" s="434"/>
    </row>
    <row r="11" spans="1:11" ht="27.75" customHeight="1" x14ac:dyDescent="0.2">
      <c r="A11" s="999" t="s">
        <v>32</v>
      </c>
      <c r="B11" s="1000"/>
      <c r="C11" s="429">
        <f>+'Input Page'!C32</f>
        <v>5600</v>
      </c>
      <c r="D11" s="429">
        <f>+'Input Page'!D32</f>
        <v>54.936</v>
      </c>
      <c r="E11" s="625">
        <f>+'Input Page'!E32</f>
        <v>9.9999999999999992E-25</v>
      </c>
      <c r="F11" s="625">
        <f>+'Input Page'!F32</f>
        <v>2.74</v>
      </c>
      <c r="G11" s="429">
        <f>+'Input Page'!G32</f>
        <v>-150.52464000000001</v>
      </c>
      <c r="H11" s="451">
        <f>+'Input Page'!H32</f>
        <v>0</v>
      </c>
    </row>
    <row r="12" spans="1:11" ht="15.95" customHeight="1" x14ac:dyDescent="0.2">
      <c r="A12" s="999" t="s">
        <v>31</v>
      </c>
      <c r="B12" s="1000"/>
      <c r="C12" s="429">
        <f>+'Input Page'!C33</f>
        <v>11700</v>
      </c>
      <c r="D12" s="429">
        <f>+'Input Page'!D33</f>
        <v>114.777</v>
      </c>
      <c r="E12" s="625">
        <f>+'Input Page'!E33</f>
        <v>9.9999999999999992E-25</v>
      </c>
      <c r="F12" s="625">
        <f>+'Input Page'!F33</f>
        <v>-1.0247287229400814</v>
      </c>
      <c r="G12" s="429">
        <f>+'Input Page'!G33</f>
        <v>117.61528863289372</v>
      </c>
      <c r="H12" s="451">
        <f>+'Input Page'!H33</f>
        <v>0</v>
      </c>
    </row>
    <row r="13" spans="1:11" ht="18.75" customHeight="1" x14ac:dyDescent="0.2">
      <c r="A13" s="1013" t="s">
        <v>235</v>
      </c>
      <c r="B13" s="1014"/>
      <c r="C13" s="429">
        <f>+'Input Page'!C34</f>
        <v>7150</v>
      </c>
      <c r="D13" s="429">
        <f>+'Input Page'!D34</f>
        <v>70.141499999999994</v>
      </c>
      <c r="E13" s="625">
        <f>+'Input Page'!E34</f>
        <v>-0.30069930069930073</v>
      </c>
      <c r="F13" s="625">
        <f>+'Input Page'!F34</f>
        <v>3.4671328671328676</v>
      </c>
      <c r="G13" s="429">
        <f>+'Input Page'!G34</f>
        <v>-243.18990000000002</v>
      </c>
      <c r="H13" s="451">
        <f>+'Input Page'!H34</f>
        <v>-21.0915</v>
      </c>
    </row>
    <row r="14" spans="1:11" ht="18" customHeight="1" x14ac:dyDescent="0.2">
      <c r="A14" s="999" t="s">
        <v>18</v>
      </c>
      <c r="B14" s="1000"/>
      <c r="C14" s="429">
        <f>+'Input Page'!C35</f>
        <v>4000</v>
      </c>
      <c r="D14" s="429">
        <f>+'Input Page'!D35</f>
        <v>39.24</v>
      </c>
      <c r="E14" s="625">
        <f>+'Input Page'!E35</f>
        <v>9.9999999999999992E-25</v>
      </c>
      <c r="F14" s="625">
        <f>+'Input Page'!F35</f>
        <v>-2.4500000000000002</v>
      </c>
      <c r="G14" s="429">
        <f>+'Input Page'!G35</f>
        <v>96.138000000000005</v>
      </c>
      <c r="H14" s="451">
        <f>+'Input Page'!H35</f>
        <v>0</v>
      </c>
    </row>
    <row r="15" spans="1:11" ht="15.95" customHeight="1" x14ac:dyDescent="0.2">
      <c r="A15" s="999" t="s">
        <v>24</v>
      </c>
      <c r="B15" s="1000"/>
      <c r="C15" s="429">
        <f>+'Input Page'!C36</f>
        <v>0</v>
      </c>
      <c r="D15" s="429">
        <f>+'Input Page'!D36</f>
        <v>9.9999999999999992E-25</v>
      </c>
      <c r="E15" s="625">
        <f>+'Input Page'!E36</f>
        <v>9.9999999999999992E-25</v>
      </c>
      <c r="F15" s="625">
        <f>+'Input Page'!F36</f>
        <v>9.9999999999999992E-25</v>
      </c>
      <c r="G15" s="429">
        <f>+'Input Page'!G36</f>
        <v>0</v>
      </c>
      <c r="H15" s="451">
        <f>+'Input Page'!H36</f>
        <v>0</v>
      </c>
      <c r="I15" s="31"/>
      <c r="J15" s="45"/>
    </row>
    <row r="16" spans="1:11" ht="15.95" customHeight="1" x14ac:dyDescent="0.25">
      <c r="A16" s="999" t="s">
        <v>192</v>
      </c>
      <c r="B16" s="1001"/>
      <c r="C16" s="429">
        <f>+'Input Page'!C37</f>
        <v>28450</v>
      </c>
      <c r="D16" s="429">
        <f>+'Input Page'!D37</f>
        <v>279.09449999999998</v>
      </c>
      <c r="E16" s="625">
        <f>+'Input Page'!E37</f>
        <v>-7.5571177504393683E-2</v>
      </c>
      <c r="F16" s="625">
        <f>+'Input Page'!F37</f>
        <v>0.64480400497718993</v>
      </c>
      <c r="G16" s="429">
        <f>+'Input Page'!G37</f>
        <v>-179.96125136710631</v>
      </c>
      <c r="H16" s="451">
        <f>+'Input Page'!H37</f>
        <v>-21.0915</v>
      </c>
      <c r="J16" s="44"/>
      <c r="K16" s="44"/>
    </row>
    <row r="17" spans="1:9" ht="15.95" customHeight="1" thickBot="1" x14ac:dyDescent="0.25">
      <c r="A17" s="1002" t="s">
        <v>150</v>
      </c>
      <c r="B17" s="1003"/>
      <c r="C17" s="1003"/>
      <c r="D17" s="1003"/>
      <c r="E17" s="1003"/>
      <c r="F17" s="1003"/>
      <c r="G17" s="1003"/>
      <c r="H17" s="1004"/>
    </row>
    <row r="18" spans="1:9" ht="45.75" customHeight="1" thickBot="1" x14ac:dyDescent="0.25">
      <c r="A18" s="1005" t="s">
        <v>205</v>
      </c>
      <c r="B18" s="1006"/>
      <c r="C18" s="435" t="s">
        <v>72</v>
      </c>
      <c r="D18" s="574" t="s">
        <v>73</v>
      </c>
      <c r="E18" s="574" t="s">
        <v>67</v>
      </c>
      <c r="F18" s="436" t="s">
        <v>68</v>
      </c>
      <c r="G18" s="1007" t="s">
        <v>21</v>
      </c>
      <c r="H18" s="1009" t="s">
        <v>159</v>
      </c>
      <c r="I18" s="26"/>
    </row>
    <row r="19" spans="1:9" ht="15.95" customHeight="1" thickBot="1" x14ac:dyDescent="0.25">
      <c r="A19" s="1011"/>
      <c r="B19" s="1012"/>
      <c r="C19" s="437" t="s">
        <v>194</v>
      </c>
      <c r="D19" s="437" t="s">
        <v>79</v>
      </c>
      <c r="E19" s="437" t="s">
        <v>80</v>
      </c>
      <c r="F19" s="438" t="s">
        <v>80</v>
      </c>
      <c r="G19" s="1008"/>
      <c r="H19" s="1010"/>
    </row>
    <row r="20" spans="1:9" ht="15.95" customHeight="1" x14ac:dyDescent="0.2">
      <c r="A20" s="789" t="s">
        <v>74</v>
      </c>
      <c r="B20" s="790"/>
      <c r="C20" s="439">
        <f>+'Input Page'!C41</f>
        <v>1.5</v>
      </c>
      <c r="D20" s="441">
        <f>+'Input Page'!D41</f>
        <v>-450</v>
      </c>
      <c r="E20" s="439">
        <f>+'Input Page'!E41</f>
        <v>0</v>
      </c>
      <c r="F20" s="439">
        <f>+'Input Page'!F41</f>
        <v>2.74</v>
      </c>
      <c r="G20" s="440" t="str">
        <f>+'Input Page'!G41</f>
        <v>1.2x1.25m</v>
      </c>
      <c r="H20" s="452" t="str">
        <f>+'Input Page'!H41</f>
        <v>Rectangular</v>
      </c>
    </row>
    <row r="21" spans="1:9" ht="15.95" customHeight="1" x14ac:dyDescent="0.2">
      <c r="A21" s="789" t="s">
        <v>75</v>
      </c>
      <c r="B21" s="790"/>
      <c r="C21" s="439">
        <f>+'Input Page'!C42</f>
        <v>0</v>
      </c>
      <c r="D21" s="439">
        <f>+'Input Page'!D42</f>
        <v>0</v>
      </c>
      <c r="E21" s="439">
        <f>+'Input Page'!E42</f>
        <v>0</v>
      </c>
      <c r="F21" s="439">
        <f>+'Input Page'!F42</f>
        <v>0</v>
      </c>
      <c r="G21" s="440" t="str">
        <f>+'Input Page'!G42</f>
        <v>None</v>
      </c>
      <c r="H21" s="452" t="str">
        <f>+'Input Page'!H42</f>
        <v>None</v>
      </c>
    </row>
    <row r="22" spans="1:9" ht="15.95" customHeight="1" x14ac:dyDescent="0.2">
      <c r="A22" s="789" t="s">
        <v>77</v>
      </c>
      <c r="B22" s="790"/>
      <c r="C22" s="439">
        <f>+'Input Page'!C43</f>
        <v>0</v>
      </c>
      <c r="D22" s="439">
        <f>+'Input Page'!D43</f>
        <v>0</v>
      </c>
      <c r="E22" s="439">
        <f>+'Input Page'!E43</f>
        <v>0</v>
      </c>
      <c r="F22" s="439">
        <f>+'Input Page'!F43</f>
        <v>0</v>
      </c>
      <c r="G22" s="440" t="str">
        <f>+'Input Page'!G43</f>
        <v>None</v>
      </c>
      <c r="H22" s="452" t="str">
        <f>+'Input Page'!H43</f>
        <v>None</v>
      </c>
    </row>
    <row r="23" spans="1:9" ht="15.95" customHeight="1" thickBot="1" x14ac:dyDescent="0.25">
      <c r="A23" s="813" t="s">
        <v>78</v>
      </c>
      <c r="B23" s="814"/>
      <c r="C23" s="439">
        <f>+'Input Page'!C44</f>
        <v>0</v>
      </c>
      <c r="D23" s="439">
        <f>+'Input Page'!D44</f>
        <v>0</v>
      </c>
      <c r="E23" s="439">
        <f>+'Input Page'!E44</f>
        <v>0</v>
      </c>
      <c r="F23" s="439">
        <f>+'Input Page'!F44</f>
        <v>0</v>
      </c>
      <c r="G23" s="440" t="str">
        <f>+'Input Page'!G44</f>
        <v>None</v>
      </c>
      <c r="H23" s="452" t="str">
        <f>+'Input Page'!H44</f>
        <v>None</v>
      </c>
    </row>
    <row r="24" spans="1:9" ht="15.95" customHeight="1" thickBot="1" x14ac:dyDescent="0.25">
      <c r="A24" s="714" t="s">
        <v>151</v>
      </c>
      <c r="B24" s="715"/>
      <c r="C24" s="715"/>
      <c r="D24" s="715"/>
      <c r="E24" s="715"/>
      <c r="F24" s="715"/>
      <c r="G24" s="715"/>
      <c r="H24" s="716"/>
    </row>
    <row r="25" spans="1:9" ht="33" customHeight="1" thickBot="1" x14ac:dyDescent="0.25">
      <c r="A25" s="710"/>
      <c r="B25" s="711"/>
      <c r="C25" s="371"/>
      <c r="D25" s="568" t="s">
        <v>81</v>
      </c>
      <c r="E25" s="568" t="s">
        <v>67</v>
      </c>
      <c r="F25" s="568" t="s">
        <v>68</v>
      </c>
      <c r="G25" s="719"/>
      <c r="H25" s="720"/>
    </row>
    <row r="26" spans="1:9" ht="15.95" customHeight="1" x14ac:dyDescent="0.2">
      <c r="A26" s="1015"/>
      <c r="B26" s="1016"/>
      <c r="C26" s="571"/>
      <c r="D26" s="442" t="s">
        <v>79</v>
      </c>
      <c r="E26" s="442" t="s">
        <v>80</v>
      </c>
      <c r="F26" s="442" t="s">
        <v>80</v>
      </c>
      <c r="G26" s="1017"/>
      <c r="H26" s="1018"/>
    </row>
    <row r="27" spans="1:9" ht="15.95" customHeight="1" x14ac:dyDescent="0.2">
      <c r="A27" s="1019" t="s">
        <v>14</v>
      </c>
      <c r="B27" s="1020"/>
      <c r="C27" s="375"/>
      <c r="D27" s="591">
        <f>+'Input Page'!D48</f>
        <v>392</v>
      </c>
      <c r="E27" s="592">
        <f>+'Input Page'!E48</f>
        <v>-0.30069930069930073</v>
      </c>
      <c r="F27" s="592">
        <f>+'Input Page'!F48</f>
        <v>3.4671328671328676</v>
      </c>
      <c r="G27" s="1021" t="str">
        <f>+'Input Page'!G48</f>
        <v>Must be inline with suspended equip't.</v>
      </c>
      <c r="H27" s="1022"/>
    </row>
    <row r="28" spans="1:9" ht="15.95" customHeight="1" x14ac:dyDescent="0.2">
      <c r="A28" s="775" t="s">
        <v>22</v>
      </c>
      <c r="B28" s="776"/>
      <c r="C28" s="375"/>
      <c r="D28" s="591">
        <f>+'Input Page'!D49</f>
        <v>-29.4</v>
      </c>
      <c r="E28" s="592">
        <f>+'Input Page'!E49</f>
        <v>-0.30069930069930073</v>
      </c>
      <c r="F28" s="592">
        <f>+'Input Page'!F49</f>
        <v>3.4671328671328676</v>
      </c>
      <c r="G28" s="1021" t="str">
        <f>+'Input Page'!G49</f>
        <v>-ve Must be inline with suspended equip't.</v>
      </c>
      <c r="H28" s="1022"/>
    </row>
    <row r="29" spans="1:9" ht="15.95" customHeight="1" thickBot="1" x14ac:dyDescent="0.25">
      <c r="A29" s="777" t="s">
        <v>23</v>
      </c>
      <c r="B29" s="778"/>
      <c r="C29" s="377"/>
      <c r="D29" s="593">
        <f>+'Input Page'!D50</f>
        <v>10</v>
      </c>
      <c r="E29" s="594">
        <f>+'Input Page'!E50</f>
        <v>0</v>
      </c>
      <c r="F29" s="594">
        <f>+'Input Page'!F50</f>
        <v>4</v>
      </c>
      <c r="G29" s="1031">
        <f>+'Input Page'!G50:H50</f>
        <v>0</v>
      </c>
      <c r="H29" s="1032"/>
    </row>
    <row r="30" spans="1:9" ht="18" customHeight="1" thickTop="1" thickBot="1" x14ac:dyDescent="0.3">
      <c r="A30" s="380"/>
      <c r="B30" s="381"/>
      <c r="C30" s="382"/>
      <c r="D30" s="382"/>
      <c r="E30" s="383"/>
      <c r="F30" s="383"/>
      <c r="G30" s="384"/>
      <c r="H30" s="384"/>
    </row>
    <row r="31" spans="1:9" ht="18" customHeight="1" thickTop="1" thickBot="1" x14ac:dyDescent="0.3">
      <c r="A31" s="277" t="s">
        <v>152</v>
      </c>
      <c r="B31" s="385"/>
      <c r="C31" s="386"/>
      <c r="D31" s="386"/>
      <c r="E31" s="387"/>
      <c r="F31" s="387"/>
      <c r="G31" s="388"/>
      <c r="H31" s="389"/>
    </row>
    <row r="32" spans="1:9" ht="36.75" customHeight="1" thickBot="1" x14ac:dyDescent="0.25">
      <c r="A32" s="1033" t="s">
        <v>17</v>
      </c>
      <c r="B32" s="1034"/>
      <c r="C32" s="443" t="s">
        <v>0</v>
      </c>
      <c r="D32" s="443" t="s">
        <v>66</v>
      </c>
      <c r="E32" s="443" t="s">
        <v>67</v>
      </c>
      <c r="F32" s="443" t="s">
        <v>68</v>
      </c>
      <c r="G32" s="443" t="s">
        <v>69</v>
      </c>
      <c r="H32" s="444" t="s">
        <v>70</v>
      </c>
    </row>
    <row r="33" spans="1:12" ht="15.95" customHeight="1" x14ac:dyDescent="0.2">
      <c r="A33" s="1035" t="s">
        <v>176</v>
      </c>
      <c r="B33" s="626" t="str">
        <f>+'Input Page'!B54</f>
        <v>Tracks &amp; Undercarriage</v>
      </c>
      <c r="C33" s="572">
        <f>+'Input Page'!C54</f>
        <v>10000</v>
      </c>
      <c r="D33" s="572">
        <f>+'Input Page'!D54</f>
        <v>98.1</v>
      </c>
      <c r="E33" s="661">
        <f>+'Input Page'!E54</f>
        <v>0</v>
      </c>
      <c r="F33" s="661">
        <f>+'Input Page'!F54</f>
        <v>0</v>
      </c>
      <c r="G33" s="572">
        <f>+'Input Page'!G54</f>
        <v>0</v>
      </c>
      <c r="H33" s="573">
        <f>+'Input Page'!H54</f>
        <v>0</v>
      </c>
    </row>
    <row r="34" spans="1:12" ht="15.95" customHeight="1" x14ac:dyDescent="0.2">
      <c r="A34" s="1036"/>
      <c r="B34" s="445">
        <f>+'Input Page'!B55</f>
        <v>0</v>
      </c>
      <c r="C34" s="572">
        <f>+'Input Page'!C55</f>
        <v>0</v>
      </c>
      <c r="D34" s="572">
        <f>+'Input Page'!D55</f>
        <v>0</v>
      </c>
      <c r="E34" s="661">
        <f>+'Input Page'!E55</f>
        <v>0</v>
      </c>
      <c r="F34" s="661">
        <f>+'Input Page'!F55</f>
        <v>0</v>
      </c>
      <c r="G34" s="572">
        <f>+'Input Page'!G55</f>
        <v>0</v>
      </c>
      <c r="H34" s="573">
        <f>+'Input Page'!H55</f>
        <v>0</v>
      </c>
    </row>
    <row r="35" spans="1:12" ht="15.95" customHeight="1" thickBot="1" x14ac:dyDescent="0.25">
      <c r="A35" s="1036"/>
      <c r="B35" s="652">
        <f>+'Input Page'!B56</f>
        <v>0</v>
      </c>
      <c r="C35" s="653">
        <f>+'Input Page'!C56</f>
        <v>0</v>
      </c>
      <c r="D35" s="653">
        <f>+'Input Page'!D56</f>
        <v>0</v>
      </c>
      <c r="E35" s="661">
        <f>+'Input Page'!E56</f>
        <v>0</v>
      </c>
      <c r="F35" s="661">
        <f>+'Input Page'!F56</f>
        <v>0</v>
      </c>
      <c r="G35" s="653">
        <f>+'Input Page'!G56</f>
        <v>0</v>
      </c>
      <c r="H35" s="654">
        <f>+'Input Page'!H56</f>
        <v>0</v>
      </c>
    </row>
    <row r="36" spans="1:12" ht="15.95" customHeight="1" thickBot="1" x14ac:dyDescent="0.3">
      <c r="A36" s="1037" t="s">
        <v>191</v>
      </c>
      <c r="B36" s="1038"/>
      <c r="C36" s="659">
        <f>+'Input Page'!C57</f>
        <v>10000</v>
      </c>
      <c r="D36" s="655">
        <f>+'Input Page'!D57</f>
        <v>98.1</v>
      </c>
      <c r="E36" s="656">
        <f>+'Input Page'!E57</f>
        <v>9.9999999999999992E-25</v>
      </c>
      <c r="F36" s="656">
        <f>+'Input Page'!F57</f>
        <v>-9.9999999999999992E-25</v>
      </c>
      <c r="G36" s="657">
        <f>+'Input Page'!G57</f>
        <v>0</v>
      </c>
      <c r="H36" s="658">
        <f>+'Input Page'!H57</f>
        <v>0</v>
      </c>
    </row>
    <row r="37" spans="1:12" ht="15.95" customHeight="1" thickBot="1" x14ac:dyDescent="0.3">
      <c r="A37" s="1042" t="s">
        <v>245</v>
      </c>
      <c r="B37" s="749"/>
      <c r="C37" s="660">
        <f>+'Input Page'!C58</f>
        <v>38450</v>
      </c>
      <c r="D37" s="648"/>
      <c r="E37" s="649"/>
      <c r="F37" s="649"/>
      <c r="G37" s="650"/>
      <c r="H37" s="651"/>
    </row>
    <row r="38" spans="1:12" s="93" customFormat="1" ht="21.75" customHeight="1" thickBot="1" x14ac:dyDescent="0.25">
      <c r="A38" s="1039" t="s">
        <v>148</v>
      </c>
      <c r="B38" s="1040"/>
      <c r="C38" s="1040"/>
      <c r="D38" s="1040"/>
      <c r="E38" s="1040"/>
      <c r="F38" s="1040"/>
      <c r="G38" s="1040"/>
      <c r="H38" s="1041"/>
    </row>
    <row r="39" spans="1:12" s="93" customFormat="1" ht="38.25" customHeight="1" thickBot="1" x14ac:dyDescent="0.25">
      <c r="A39" s="1023" t="s">
        <v>76</v>
      </c>
      <c r="B39" s="1024"/>
      <c r="C39" s="458" t="s">
        <v>72</v>
      </c>
      <c r="D39" s="443" t="s">
        <v>73</v>
      </c>
      <c r="E39" s="443" t="s">
        <v>67</v>
      </c>
      <c r="F39" s="459" t="s">
        <v>68</v>
      </c>
      <c r="G39" s="1025" t="s">
        <v>21</v>
      </c>
      <c r="H39" s="1027" t="s">
        <v>159</v>
      </c>
    </row>
    <row r="40" spans="1:12" ht="15.95" customHeight="1" thickBot="1" x14ac:dyDescent="0.25">
      <c r="A40" s="1029"/>
      <c r="B40" s="1030"/>
      <c r="C40" s="460" t="s">
        <v>195</v>
      </c>
      <c r="D40" s="460" t="s">
        <v>79</v>
      </c>
      <c r="E40" s="460" t="s">
        <v>80</v>
      </c>
      <c r="F40" s="461" t="s">
        <v>80</v>
      </c>
      <c r="G40" s="1026"/>
      <c r="H40" s="1028"/>
    </row>
    <row r="41" spans="1:12" ht="15.95" customHeight="1" x14ac:dyDescent="0.2">
      <c r="A41" s="789" t="s">
        <v>74</v>
      </c>
      <c r="B41" s="790"/>
      <c r="C41" s="463">
        <f>+'Input Page'!C62</f>
        <v>0</v>
      </c>
      <c r="D41" s="450">
        <f>+'Input Page'!D62</f>
        <v>0</v>
      </c>
      <c r="E41" s="450">
        <f>+'Input Page'!E62</f>
        <v>0</v>
      </c>
      <c r="F41" s="450">
        <f>+'Input Page'!F62</f>
        <v>0</v>
      </c>
      <c r="G41" s="457">
        <f>+'Input Page'!G62</f>
        <v>0</v>
      </c>
      <c r="H41" s="573">
        <f>+'Input Page'!H62</f>
        <v>0</v>
      </c>
    </row>
    <row r="42" spans="1:12" ht="15.95" customHeight="1" x14ac:dyDescent="0.2">
      <c r="A42" s="789" t="s">
        <v>75</v>
      </c>
      <c r="B42" s="790"/>
      <c r="C42" s="450">
        <f>+'Input Page'!C63</f>
        <v>0</v>
      </c>
      <c r="D42" s="450">
        <f>+'Input Page'!D63</f>
        <v>0</v>
      </c>
      <c r="E42" s="450">
        <f>+'Input Page'!E63</f>
        <v>0</v>
      </c>
      <c r="F42" s="450">
        <f>+'Input Page'!F63</f>
        <v>0</v>
      </c>
      <c r="G42" s="457">
        <f>+'Input Page'!G63</f>
        <v>0</v>
      </c>
      <c r="H42" s="573">
        <f>+'Input Page'!H63</f>
        <v>0</v>
      </c>
    </row>
    <row r="43" spans="1:12" ht="15.95" customHeight="1" x14ac:dyDescent="0.2">
      <c r="A43" s="789" t="s">
        <v>77</v>
      </c>
      <c r="B43" s="790"/>
      <c r="C43" s="450">
        <f>+'Input Page'!C64</f>
        <v>0</v>
      </c>
      <c r="D43" s="450">
        <f>+'Input Page'!D64</f>
        <v>0</v>
      </c>
      <c r="E43" s="450">
        <f>+'Input Page'!E64</f>
        <v>0</v>
      </c>
      <c r="F43" s="450">
        <f>+'Input Page'!F64</f>
        <v>0</v>
      </c>
      <c r="G43" s="457">
        <f>+'Input Page'!G64</f>
        <v>0</v>
      </c>
      <c r="H43" s="573">
        <f>+'Input Page'!H64</f>
        <v>0</v>
      </c>
    </row>
    <row r="44" spans="1:12" s="27" customFormat="1" ht="17.25" thickBot="1" x14ac:dyDescent="0.25">
      <c r="A44" s="813" t="s">
        <v>78</v>
      </c>
      <c r="B44" s="814"/>
      <c r="C44" s="462">
        <f>+'Input Page'!C65</f>
        <v>0</v>
      </c>
      <c r="D44" s="462">
        <f>+'Input Page'!D65</f>
        <v>0</v>
      </c>
      <c r="E44" s="462">
        <f>+'Input Page'!E65</f>
        <v>0</v>
      </c>
      <c r="F44" s="462">
        <f>+'Input Page'!F65</f>
        <v>0</v>
      </c>
      <c r="G44" s="581">
        <f>+'Input Page'!G65</f>
        <v>0</v>
      </c>
      <c r="H44" s="582">
        <f>+'Input Page'!H65</f>
        <v>0</v>
      </c>
      <c r="I44" s="25"/>
    </row>
    <row r="45" spans="1:12" ht="17.25" thickBot="1" x14ac:dyDescent="0.3">
      <c r="A45" s="453"/>
      <c r="B45" s="446"/>
      <c r="C45" s="447"/>
      <c r="D45" s="447"/>
      <c r="E45" s="448"/>
      <c r="F45" s="448"/>
      <c r="G45" s="449"/>
      <c r="H45" s="454"/>
    </row>
    <row r="46" spans="1:12" ht="17.25" thickTop="1" x14ac:dyDescent="0.2">
      <c r="A46" s="1051" t="s">
        <v>34</v>
      </c>
      <c r="B46" s="1052"/>
      <c r="C46" s="1052"/>
      <c r="D46" s="406"/>
      <c r="E46" s="406" t="s">
        <v>179</v>
      </c>
      <c r="F46" s="406"/>
      <c r="G46" s="406"/>
      <c r="H46" s="407"/>
    </row>
    <row r="47" spans="1:12" ht="17.25" customHeight="1" x14ac:dyDescent="0.2">
      <c r="A47" s="775" t="s">
        <v>19</v>
      </c>
      <c r="B47" s="788"/>
      <c r="C47" s="592">
        <f>+'Input Page'!C68</f>
        <v>3.8140000000000001</v>
      </c>
      <c r="D47" s="579"/>
      <c r="E47" s="1071" t="s">
        <v>247</v>
      </c>
      <c r="F47" s="1071"/>
      <c r="G47" s="1073" t="str">
        <f>+'Input Page'!G68</f>
        <v>YES</v>
      </c>
      <c r="H47" s="580"/>
      <c r="L47" s="154"/>
    </row>
    <row r="48" spans="1:12" ht="16.5" x14ac:dyDescent="0.2">
      <c r="A48" s="775" t="s">
        <v>2</v>
      </c>
      <c r="B48" s="788"/>
      <c r="C48" s="592">
        <f>+'Input Page'!C69</f>
        <v>0.7</v>
      </c>
      <c r="D48" s="579"/>
      <c r="E48" s="1071"/>
      <c r="F48" s="1071"/>
      <c r="G48" s="1073"/>
      <c r="H48" s="580"/>
      <c r="L48" s="154"/>
    </row>
    <row r="49" spans="1:14" s="93" customFormat="1" ht="17.25" thickBot="1" x14ac:dyDescent="0.25">
      <c r="A49" s="777" t="str">
        <f>+'Input Page'!A70:B70</f>
        <v>Distance between centrelines of tracks (m)</v>
      </c>
      <c r="B49" s="778"/>
      <c r="C49" s="594">
        <f>+'Input Page'!C70</f>
        <v>3.3</v>
      </c>
      <c r="D49" s="455"/>
      <c r="E49" s="1072"/>
      <c r="F49" s="1072"/>
      <c r="G49" s="1074"/>
      <c r="H49" s="456"/>
      <c r="L49" s="418"/>
    </row>
    <row r="50" spans="1:14" s="93" customFormat="1" ht="24" customHeight="1" thickTop="1" thickBot="1" x14ac:dyDescent="0.25">
      <c r="A50" s="416"/>
      <c r="B50" s="416"/>
      <c r="C50" s="401"/>
      <c r="D50" s="414"/>
      <c r="E50" s="415"/>
      <c r="F50" s="415"/>
      <c r="G50" s="417"/>
      <c r="H50" s="414"/>
      <c r="L50" s="418"/>
    </row>
    <row r="51" spans="1:14" s="93" customFormat="1" ht="84.75" customHeight="1" thickTop="1" thickBot="1" x14ac:dyDescent="0.25">
      <c r="A51" s="583"/>
      <c r="B51" s="1075" t="s">
        <v>57</v>
      </c>
      <c r="C51" s="1076"/>
      <c r="D51" s="1077"/>
      <c r="E51" s="1069" t="s">
        <v>199</v>
      </c>
      <c r="F51" s="1053" t="s">
        <v>230</v>
      </c>
      <c r="G51" s="1054"/>
      <c r="H51" s="636" t="s">
        <v>233</v>
      </c>
      <c r="I51" s="417"/>
      <c r="N51" s="418"/>
    </row>
    <row r="52" spans="1:14" s="93" customFormat="1" ht="81.75" x14ac:dyDescent="0.2">
      <c r="A52" s="597" t="s">
        <v>50</v>
      </c>
      <c r="B52" s="470" t="s">
        <v>196</v>
      </c>
      <c r="C52" s="427" t="s">
        <v>197</v>
      </c>
      <c r="D52" s="428" t="s">
        <v>198</v>
      </c>
      <c r="E52" s="1070"/>
      <c r="F52" s="603" t="str">
        <f>+Standing!L36</f>
        <v>Eccentricity index - X direction (sideways)</v>
      </c>
      <c r="G52" s="602" t="str">
        <f>+Standing!L37</f>
        <v>Eccentricity index - Y direction (forwards/backwards)</v>
      </c>
      <c r="H52" s="604" t="s">
        <v>234</v>
      </c>
      <c r="I52" s="417"/>
      <c r="J52" s="414"/>
      <c r="N52" s="418"/>
    </row>
    <row r="53" spans="1:14" s="93" customFormat="1" ht="18" x14ac:dyDescent="0.2">
      <c r="A53" s="598" t="s">
        <v>37</v>
      </c>
      <c r="B53" s="471">
        <f>+IF(E53=0,"Not Used",Standing!$T$34)</f>
        <v>3.0601938661995667</v>
      </c>
      <c r="C53" s="426">
        <f>+IF(E53=0,"-",Standing!$I$27)</f>
        <v>0.7</v>
      </c>
      <c r="D53" s="564">
        <f>+IF(E53=0,"-",Standing!$U$34)</f>
        <v>103.93320587015738</v>
      </c>
      <c r="E53" s="600">
        <f>+Standing!$U$41</f>
        <v>1</v>
      </c>
      <c r="F53" s="471">
        <f>+IF(E53=0,"-",Standing!Q36)</f>
        <v>0.28915433568350951</v>
      </c>
      <c r="G53" s="426">
        <f>+IF(E53=0,"-",Standing!Q37)</f>
        <v>0.25018597476549065</v>
      </c>
      <c r="H53" s="627">
        <f>+SUM(Standing!G9:G11)</f>
        <v>0</v>
      </c>
      <c r="I53" s="417"/>
      <c r="J53" s="414"/>
      <c r="N53" s="418"/>
    </row>
    <row r="54" spans="1:14" s="93" customFormat="1" ht="18" x14ac:dyDescent="0.2">
      <c r="A54" s="598" t="s">
        <v>42</v>
      </c>
      <c r="B54" s="471">
        <f>+IF(E54=0,"Not Used",Travelling!$T$34)</f>
        <v>3.0601938661995667</v>
      </c>
      <c r="C54" s="426">
        <f>+IF(E54=0,"-",Travelling!$I$27)</f>
        <v>0.7</v>
      </c>
      <c r="D54" s="564">
        <f>+IF(E54=0,"-",Travelling!$U$34)</f>
        <v>103.93320587015738</v>
      </c>
      <c r="E54" s="600">
        <f>+Travelling!$U$41</f>
        <v>1</v>
      </c>
      <c r="F54" s="471">
        <f>IF(E54=0,"-",+Travelling!Q36)</f>
        <v>0.28915433568350951</v>
      </c>
      <c r="G54" s="426">
        <f>+IF(E54=0,"-",Travelling!Q37)</f>
        <v>0.25018597476549065</v>
      </c>
      <c r="H54" s="627">
        <f>+SUM(Travelling!G9:G11)</f>
        <v>0</v>
      </c>
      <c r="I54" s="417"/>
      <c r="J54" s="414"/>
      <c r="N54" s="418"/>
    </row>
    <row r="55" spans="1:14" s="93" customFormat="1" ht="18" x14ac:dyDescent="0.2">
      <c r="A55" s="598" t="s">
        <v>41</v>
      </c>
      <c r="B55" s="471">
        <f>+IF(E55=0,"Not Used",Handling!$T$34)</f>
        <v>2.8845122023575818</v>
      </c>
      <c r="C55" s="426">
        <f>+IF(E55=0,"-",Handling!$I$27)</f>
        <v>0.7</v>
      </c>
      <c r="D55" s="564">
        <f>+IF(E55=0,"-",Handling!$U$34)</f>
        <v>115.12706447125713</v>
      </c>
      <c r="E55" s="600">
        <f>+Handling!$U$41</f>
        <v>1</v>
      </c>
      <c r="F55" s="471">
        <f>+IF(E55=0,"-",Handling!Q36)</f>
        <v>0.34429685678230904</v>
      </c>
      <c r="G55" s="426">
        <f>+IF(E55=0,"-",Handling!Q37)</f>
        <v>0.2978971230680702</v>
      </c>
      <c r="H55" s="627">
        <f>+SUM(Handling!G9:G11)</f>
        <v>10</v>
      </c>
      <c r="I55" s="417"/>
      <c r="J55" s="414"/>
      <c r="N55" s="418"/>
    </row>
    <row r="56" spans="1:14" s="93" customFormat="1" ht="18" x14ac:dyDescent="0.2">
      <c r="A56" s="598" t="s">
        <v>40</v>
      </c>
      <c r="B56" s="471">
        <f>+IF(E56=0,"Not Used",Penetrating!$T$34)</f>
        <v>2.8155269750730749</v>
      </c>
      <c r="C56" s="426">
        <f>+IF(E56=0,"-",Penetrating!$I$27)</f>
        <v>0.7</v>
      </c>
      <c r="D56" s="564">
        <f>+IF(E56=0,"-",Penetrating!$U$34)</f>
        <v>84.313647585555188</v>
      </c>
      <c r="E56" s="600">
        <f>+Penetrating!$U$41</f>
        <v>2</v>
      </c>
      <c r="F56" s="471">
        <f>+IF(E56=0,"-",Penetrating!Q36)</f>
        <v>0.36051617279558346</v>
      </c>
      <c r="G56" s="426">
        <f>+IF(E56=0,"-",Penetrating!Q37)</f>
        <v>0.31193061621012724</v>
      </c>
      <c r="H56" s="627">
        <f>+SUM(Penetrating!G9:G11)</f>
        <v>-29.4</v>
      </c>
      <c r="I56" s="417"/>
      <c r="J56" s="414"/>
      <c r="N56" s="418"/>
    </row>
    <row r="57" spans="1:14" s="93" customFormat="1" ht="18" x14ac:dyDescent="0.2">
      <c r="A57" s="598" t="s">
        <v>39</v>
      </c>
      <c r="B57" s="471">
        <f>+IF(E57=0,"Not Used",Extracting!$T$34)</f>
        <v>1.4798836488679452</v>
      </c>
      <c r="C57" s="426">
        <f>+IF(E57=0,"-",Extracting!$I$27)</f>
        <v>0.7</v>
      </c>
      <c r="D57" s="564">
        <f>+IF(E57=0,"-",Extracting!$U$34)</f>
        <v>229.40822466656786</v>
      </c>
      <c r="E57" s="600">
        <f>+Extracting!$U$41</f>
        <v>2</v>
      </c>
      <c r="F57" s="471">
        <f>+IF(E57=0,"-",Extracting!Q36)</f>
        <v>0.73499234132631408</v>
      </c>
      <c r="G57" s="426">
        <f>+IF(E57=0,"-",Extracting!Q37)</f>
        <v>0.6359398863075082</v>
      </c>
      <c r="H57" s="628">
        <f>+SUM(Extracting!G9:G11)</f>
        <v>392</v>
      </c>
      <c r="I57" s="417"/>
      <c r="J57" s="414"/>
      <c r="N57" s="418"/>
    </row>
    <row r="58" spans="1:14" s="93" customFormat="1" ht="18.75" thickBot="1" x14ac:dyDescent="0.25">
      <c r="A58" s="599" t="s">
        <v>28</v>
      </c>
      <c r="B58" s="566" t="str">
        <f>+IF(E58=0,"Not Used",Other!$T$34)</f>
        <v>Not Used</v>
      </c>
      <c r="C58" s="565" t="str">
        <f>+IF(E58=0,"-",Other!$I$27)</f>
        <v>-</v>
      </c>
      <c r="D58" s="567" t="str">
        <f>+IF(E58=0,"-",Other!$U$34)</f>
        <v>-</v>
      </c>
      <c r="E58" s="601">
        <f>+Other!$U$41</f>
        <v>0</v>
      </c>
      <c r="F58" s="566" t="str">
        <f>+IF(E58=0,"-",Other!Q36)</f>
        <v>-</v>
      </c>
      <c r="G58" s="565" t="str">
        <f>+IF(E58=0,"-",Other!Q37)</f>
        <v>-</v>
      </c>
      <c r="H58" s="629">
        <f>+SUM(Other!G9:G11)</f>
        <v>0</v>
      </c>
      <c r="I58" s="417"/>
      <c r="J58" s="414"/>
      <c r="N58" s="418"/>
    </row>
    <row r="59" spans="1:14" s="93" customFormat="1" ht="18.75" thickBot="1" x14ac:dyDescent="0.25">
      <c r="A59" s="584"/>
      <c r="B59" s="465"/>
      <c r="C59" s="466"/>
      <c r="D59" s="466"/>
      <c r="E59" s="464"/>
      <c r="F59" s="464"/>
      <c r="G59" s="467"/>
      <c r="H59" s="585"/>
      <c r="I59" s="417"/>
      <c r="J59" s="414"/>
      <c r="N59" s="418"/>
    </row>
    <row r="60" spans="1:14" s="93" customFormat="1" ht="24.75" customHeight="1" x14ac:dyDescent="0.2">
      <c r="A60" s="586" t="s">
        <v>50</v>
      </c>
      <c r="B60" s="472" t="s">
        <v>204</v>
      </c>
      <c r="C60" s="1060" t="s">
        <v>202</v>
      </c>
      <c r="D60" s="1061"/>
      <c r="E60" s="1061"/>
      <c r="F60" s="1061"/>
      <c r="G60" s="1061"/>
      <c r="H60" s="1062"/>
      <c r="I60" s="417"/>
      <c r="J60" s="414"/>
      <c r="N60" s="418"/>
    </row>
    <row r="61" spans="1:14" s="93" customFormat="1" ht="24.75" customHeight="1" x14ac:dyDescent="0.2">
      <c r="A61" s="587"/>
      <c r="B61" s="473" t="s">
        <v>203</v>
      </c>
      <c r="C61" s="1078" t="s">
        <v>182</v>
      </c>
      <c r="D61" s="1079"/>
      <c r="E61" s="1079" t="s">
        <v>183</v>
      </c>
      <c r="F61" s="1079"/>
      <c r="G61" s="1079" t="s">
        <v>184</v>
      </c>
      <c r="H61" s="1080"/>
      <c r="I61" s="417"/>
      <c r="J61" s="414"/>
      <c r="N61" s="418"/>
    </row>
    <row r="62" spans="1:14" s="93" customFormat="1" ht="24.75" customHeight="1" x14ac:dyDescent="0.2">
      <c r="A62" s="587" t="s">
        <v>37</v>
      </c>
      <c r="B62" s="28" t="str">
        <f>+Standing!$Q$38</f>
        <v>None</v>
      </c>
      <c r="C62" s="979" t="str">
        <f>+Standing!$A$33</f>
        <v>AuxiIiary Line Force OK</v>
      </c>
      <c r="D62" s="974"/>
      <c r="E62" s="974" t="str">
        <f>+Standing!$A$34</f>
        <v>Extraction Force OK</v>
      </c>
      <c r="F62" s="974"/>
      <c r="G62" s="974" t="str">
        <f>+Standing!$A$35</f>
        <v>Penetration Force OK</v>
      </c>
      <c r="H62" s="975"/>
      <c r="I62" s="417"/>
      <c r="J62" s="414"/>
      <c r="N62" s="418"/>
    </row>
    <row r="63" spans="1:14" s="93" customFormat="1" ht="24.75" customHeight="1" x14ac:dyDescent="0.2">
      <c r="A63" s="587" t="s">
        <v>42</v>
      </c>
      <c r="B63" s="28" t="str">
        <f>+Travelling!$Q$38</f>
        <v>None</v>
      </c>
      <c r="C63" s="979" t="str">
        <f>+Travelling!$A$33</f>
        <v>AuxiIiary Line Force OK</v>
      </c>
      <c r="D63" s="974"/>
      <c r="E63" s="974" t="str">
        <f>+Travelling!$A$34</f>
        <v>Extraction Force OK</v>
      </c>
      <c r="F63" s="974"/>
      <c r="G63" s="974" t="str">
        <f>+Travelling!$A$35</f>
        <v>Penetration Force OK</v>
      </c>
      <c r="H63" s="975"/>
      <c r="I63" s="417"/>
      <c r="J63" s="414"/>
      <c r="N63" s="418"/>
    </row>
    <row r="64" spans="1:14" s="93" customFormat="1" ht="24.75" customHeight="1" x14ac:dyDescent="0.2">
      <c r="A64" s="587" t="s">
        <v>41</v>
      </c>
      <c r="B64" s="28" t="str">
        <f>+Handling!$Q$38</f>
        <v>None</v>
      </c>
      <c r="C64" s="979" t="str">
        <f>+Handling!$A$33</f>
        <v>AuxiIiary Line Force OK</v>
      </c>
      <c r="D64" s="974"/>
      <c r="E64" s="974" t="str">
        <f>+Handling!$A$34</f>
        <v>Extraction Force OK</v>
      </c>
      <c r="F64" s="974"/>
      <c r="G64" s="974" t="str">
        <f>+Handling!$A$35</f>
        <v>Penetration Force OK</v>
      </c>
      <c r="H64" s="975"/>
      <c r="I64" s="417"/>
    </row>
    <row r="65" spans="1:9" s="93" customFormat="1" ht="24.75" customHeight="1" x14ac:dyDescent="0.2">
      <c r="A65" s="587" t="s">
        <v>40</v>
      </c>
      <c r="B65" s="28" t="str">
        <f>+Penetrating!$Q$38</f>
        <v>None</v>
      </c>
      <c r="C65" s="979" t="str">
        <f>+Penetrating!$A$33</f>
        <v>AuxiIiary Line Force OK</v>
      </c>
      <c r="D65" s="974"/>
      <c r="E65" s="974" t="str">
        <f>+Penetrating!$A$34</f>
        <v>Extraction Force OK</v>
      </c>
      <c r="F65" s="974"/>
      <c r="G65" s="974" t="str">
        <f>+Penetrating!$A$35</f>
        <v>Penetration Force OK</v>
      </c>
      <c r="H65" s="975"/>
      <c r="I65" s="417"/>
    </row>
    <row r="66" spans="1:9" s="93" customFormat="1" ht="24.75" customHeight="1" x14ac:dyDescent="0.2">
      <c r="A66" s="587" t="s">
        <v>39</v>
      </c>
      <c r="B66" s="28" t="str">
        <f>+Extracting!$Q$38</f>
        <v>Track(s) lifting</v>
      </c>
      <c r="C66" s="979" t="str">
        <f>+Extracting!$A$33</f>
        <v>AuxiIiary Line Force OK</v>
      </c>
      <c r="D66" s="974"/>
      <c r="E66" s="974" t="str">
        <f>+Extracting!$A$34</f>
        <v>Extraction Force OK</v>
      </c>
      <c r="F66" s="974"/>
      <c r="G66" s="974" t="str">
        <f>+Extracting!$A$35</f>
        <v>Penetration Force OK</v>
      </c>
      <c r="H66" s="975"/>
      <c r="I66" s="417"/>
    </row>
    <row r="67" spans="1:9" s="93" customFormat="1" ht="18" customHeight="1" thickBot="1" x14ac:dyDescent="0.25">
      <c r="A67" s="587" t="s">
        <v>28</v>
      </c>
      <c r="B67" s="28" t="str">
        <f>+Other!$Q$38</f>
        <v>None</v>
      </c>
      <c r="C67" s="979" t="str">
        <f>+Other!$A$33</f>
        <v>AuxiIiary Line Force OK</v>
      </c>
      <c r="D67" s="974"/>
      <c r="E67" s="974" t="str">
        <f>+Other!$A$34</f>
        <v>Extraction Force OK</v>
      </c>
      <c r="F67" s="974"/>
      <c r="G67" s="974" t="str">
        <f>+Other!$A$35</f>
        <v>Penetration Force OK</v>
      </c>
      <c r="H67" s="975"/>
      <c r="I67" s="417"/>
    </row>
    <row r="68" spans="1:9" s="93" customFormat="1" ht="18" customHeight="1" x14ac:dyDescent="0.2">
      <c r="A68" s="586" t="s">
        <v>50</v>
      </c>
      <c r="B68" s="1057" t="s">
        <v>200</v>
      </c>
      <c r="C68" s="1058"/>
      <c r="D68" s="1059"/>
      <c r="E68" s="976" t="s">
        <v>201</v>
      </c>
      <c r="F68" s="977"/>
      <c r="G68" s="977"/>
      <c r="H68" s="978"/>
      <c r="I68" s="417"/>
    </row>
    <row r="69" spans="1:9" s="93" customFormat="1" ht="40.5" customHeight="1" x14ac:dyDescent="0.2">
      <c r="A69" s="587"/>
      <c r="B69" s="1063" t="s">
        <v>217</v>
      </c>
      <c r="C69" s="1064"/>
      <c r="D69" s="1065"/>
      <c r="E69" s="1066" t="s">
        <v>218</v>
      </c>
      <c r="F69" s="1067"/>
      <c r="G69" s="1067"/>
      <c r="H69" s="1068"/>
      <c r="I69" s="417"/>
    </row>
    <row r="70" spans="1:9" s="93" customFormat="1" ht="40.5" customHeight="1" x14ac:dyDescent="0.2">
      <c r="A70" s="587" t="s">
        <v>37</v>
      </c>
      <c r="B70" s="474" t="str">
        <f>+Standing!$A$36</f>
        <v>Slewing Footpad Forces OK</v>
      </c>
      <c r="C70" s="1055" t="str">
        <f>+Standing!$A$37</f>
        <v>Non-Slewing Footpad Forces OK</v>
      </c>
      <c r="D70" s="1056"/>
      <c r="E70" s="980" t="str">
        <f>+Standing!$Q$39</f>
        <v>Slewing Foot Pad Pressure OK</v>
      </c>
      <c r="F70" s="981"/>
      <c r="G70" s="982" t="str">
        <f>+Standing!$Q$40</f>
        <v>Non-Slewing Foot Pad Pressure OK</v>
      </c>
      <c r="H70" s="983"/>
      <c r="I70" s="417"/>
    </row>
    <row r="71" spans="1:9" s="93" customFormat="1" ht="40.5" customHeight="1" x14ac:dyDescent="0.2">
      <c r="A71" s="587" t="s">
        <v>42</v>
      </c>
      <c r="B71" s="474" t="str">
        <f>+Travelling!$A$36</f>
        <v>Slewing Footpad Forces OK</v>
      </c>
      <c r="C71" s="1055" t="str">
        <f>+Travelling!$A$37</f>
        <v>Non-Slewing Footpad Forces OK</v>
      </c>
      <c r="D71" s="1056"/>
      <c r="E71" s="980" t="str">
        <f>+Travelling!$Q$39</f>
        <v>Slewing Foot Pad Pressure OK</v>
      </c>
      <c r="F71" s="981"/>
      <c r="G71" s="982" t="str">
        <f>+Travelling!$Q$40</f>
        <v>Non-Slewing Foot Pad Pressure OK</v>
      </c>
      <c r="H71" s="983"/>
      <c r="I71" s="417"/>
    </row>
    <row r="72" spans="1:9" s="93" customFormat="1" ht="40.5" customHeight="1" x14ac:dyDescent="0.2">
      <c r="A72" s="587" t="s">
        <v>41</v>
      </c>
      <c r="B72" s="474" t="str">
        <f>+Handling!$A$36</f>
        <v>Slewing Footpad Forces OK</v>
      </c>
      <c r="C72" s="1055" t="str">
        <f>+Handling!$A$37</f>
        <v>Non-Slewing Footpad Forces OK</v>
      </c>
      <c r="D72" s="1056"/>
      <c r="E72" s="980" t="str">
        <f>+Handling!$Q$39</f>
        <v>Slewing Foot Pad Pressure OK</v>
      </c>
      <c r="F72" s="981"/>
      <c r="G72" s="982" t="str">
        <f>+Handling!$Q$40</f>
        <v>Non-Slewing Foot Pad Pressure OK</v>
      </c>
      <c r="H72" s="983"/>
      <c r="I72" s="417"/>
    </row>
    <row r="73" spans="1:9" s="93" customFormat="1" ht="40.5" customHeight="1" x14ac:dyDescent="0.2">
      <c r="A73" s="587" t="s">
        <v>40</v>
      </c>
      <c r="B73" s="474" t="str">
        <f>+Penetrating!$A$36</f>
        <v>Slewing Footpad Forces OK</v>
      </c>
      <c r="C73" s="1055" t="str">
        <f>+Penetrating!$A$37</f>
        <v>Non-Slewing Footpad Forces OK</v>
      </c>
      <c r="D73" s="1056"/>
      <c r="E73" s="980" t="str">
        <f>+Penetrating!$Q$39</f>
        <v>Slewing Foot Pad Pressure OK</v>
      </c>
      <c r="F73" s="981"/>
      <c r="G73" s="982" t="str">
        <f>+Penetrating!$Q$40</f>
        <v>Non-Slewing Foot Pad Pressure OK</v>
      </c>
      <c r="H73" s="983"/>
      <c r="I73" s="417"/>
    </row>
    <row r="74" spans="1:9" s="93" customFormat="1" ht="40.5" customHeight="1" x14ac:dyDescent="0.2">
      <c r="A74" s="587" t="s">
        <v>39</v>
      </c>
      <c r="B74" s="474" t="str">
        <f>+Extracting!$A$36</f>
        <v>Slewing Footpad Forces OK</v>
      </c>
      <c r="C74" s="1055" t="str">
        <f>+Extracting!$A$37</f>
        <v>Non-Slewing Footpad Forces OK</v>
      </c>
      <c r="D74" s="1056"/>
      <c r="E74" s="980" t="str">
        <f>+Extracting!$Q$39</f>
        <v>Slewing Foot Pad Pressure OK</v>
      </c>
      <c r="F74" s="981"/>
      <c r="G74" s="982" t="str">
        <f>+Extracting!$Q$40</f>
        <v>Non-Slewing Foot Pad Pressure OK</v>
      </c>
      <c r="H74" s="983"/>
      <c r="I74" s="417"/>
    </row>
    <row r="75" spans="1:9" ht="30.75" thickBot="1" x14ac:dyDescent="0.25">
      <c r="A75" s="588" t="s">
        <v>28</v>
      </c>
      <c r="B75" s="474" t="str">
        <f>+Other!$A$36</f>
        <v>Slewing Footpad Forces OK</v>
      </c>
      <c r="C75" s="1055" t="str">
        <f>+Other!$A$37</f>
        <v>Non-Slewing Footpad Forces OK</v>
      </c>
      <c r="D75" s="1056"/>
      <c r="E75" s="980" t="str">
        <f>+Other!$Q$39</f>
        <v>Slewing Foot Pad Pressure OK</v>
      </c>
      <c r="F75" s="981"/>
      <c r="G75" s="982" t="str">
        <f>+Other!$Q$40</f>
        <v>Non-Slewing Foot Pad Pressure OK</v>
      </c>
      <c r="H75" s="983"/>
    </row>
    <row r="76" spans="1:9" ht="15.75" customHeight="1" x14ac:dyDescent="0.2">
      <c r="A76" s="631"/>
      <c r="B76" s="468"/>
      <c r="C76" s="595"/>
      <c r="D76" s="393"/>
      <c r="E76" s="785" t="s">
        <v>36</v>
      </c>
      <c r="F76" s="786"/>
      <c r="G76" s="786"/>
      <c r="H76" s="787"/>
    </row>
    <row r="77" spans="1:9" ht="16.5" x14ac:dyDescent="0.2">
      <c r="A77" s="1043" t="s">
        <v>64</v>
      </c>
      <c r="B77" s="782"/>
      <c r="C77" s="596"/>
      <c r="D77" s="395"/>
      <c r="E77" s="1045" t="str">
        <f>+'Input Page'!E72</f>
        <v>Blank</v>
      </c>
      <c r="F77" s="1046"/>
      <c r="G77" s="1046"/>
      <c r="H77" s="1047"/>
    </row>
    <row r="78" spans="1:9" ht="16.5" x14ac:dyDescent="0.2">
      <c r="A78" s="1044"/>
      <c r="B78" s="782"/>
      <c r="C78" s="596"/>
      <c r="D78" s="395"/>
      <c r="E78" s="1045"/>
      <c r="F78" s="1046"/>
      <c r="G78" s="1046"/>
      <c r="H78" s="1047"/>
    </row>
    <row r="79" spans="1:9" ht="16.5" x14ac:dyDescent="0.2">
      <c r="A79" s="632"/>
      <c r="B79" s="469"/>
      <c r="C79" s="596"/>
      <c r="D79" s="395"/>
      <c r="E79" s="1045"/>
      <c r="F79" s="1046"/>
      <c r="G79" s="1046"/>
      <c r="H79" s="1047"/>
    </row>
    <row r="80" spans="1:9" ht="18" customHeight="1" x14ac:dyDescent="0.25">
      <c r="A80" s="633"/>
      <c r="B80" s="399"/>
      <c r="C80" s="783"/>
      <c r="D80" s="401"/>
      <c r="E80" s="1045"/>
      <c r="F80" s="1046"/>
      <c r="G80" s="1046"/>
      <c r="H80" s="1047"/>
    </row>
    <row r="81" spans="1:8" ht="17.25" thickBot="1" x14ac:dyDescent="0.3">
      <c r="A81" s="634"/>
      <c r="B81" s="635"/>
      <c r="C81" s="784"/>
      <c r="D81" s="404"/>
      <c r="E81" s="1048"/>
      <c r="F81" s="1049"/>
      <c r="G81" s="1049"/>
      <c r="H81" s="1050"/>
    </row>
    <row r="82" spans="1:8" x14ac:dyDescent="0.2">
      <c r="A82" s="27"/>
      <c r="B82" s="27"/>
      <c r="C82" s="27"/>
      <c r="D82" s="27"/>
      <c r="E82" s="130"/>
      <c r="F82" s="130"/>
      <c r="G82" s="130"/>
      <c r="H82" s="130"/>
    </row>
    <row r="124" spans="1:1" x14ac:dyDescent="0.2">
      <c r="A124" s="25" t="s">
        <v>51</v>
      </c>
    </row>
  </sheetData>
  <sheetProtection sheet="1" objects="1" scenarios="1"/>
  <mergeCells count="107">
    <mergeCell ref="A49:B49"/>
    <mergeCell ref="E47:F49"/>
    <mergeCell ref="G47:G49"/>
    <mergeCell ref="B51:D51"/>
    <mergeCell ref="G63:H63"/>
    <mergeCell ref="G64:H64"/>
    <mergeCell ref="G65:H65"/>
    <mergeCell ref="G66:H66"/>
    <mergeCell ref="C61:D61"/>
    <mergeCell ref="E61:F61"/>
    <mergeCell ref="G61:H61"/>
    <mergeCell ref="C62:D62"/>
    <mergeCell ref="C63:D63"/>
    <mergeCell ref="C64:D64"/>
    <mergeCell ref="E62:F62"/>
    <mergeCell ref="G62:H62"/>
    <mergeCell ref="A77:B78"/>
    <mergeCell ref="E76:H76"/>
    <mergeCell ref="E77:H81"/>
    <mergeCell ref="C80:C81"/>
    <mergeCell ref="A43:B43"/>
    <mergeCell ref="A44:B44"/>
    <mergeCell ref="A46:C46"/>
    <mergeCell ref="A47:B47"/>
    <mergeCell ref="A48:B48"/>
    <mergeCell ref="F51:G51"/>
    <mergeCell ref="C70:D70"/>
    <mergeCell ref="B68:D68"/>
    <mergeCell ref="C71:D71"/>
    <mergeCell ref="C72:D72"/>
    <mergeCell ref="C73:D73"/>
    <mergeCell ref="C74:D74"/>
    <mergeCell ref="C75:D75"/>
    <mergeCell ref="G70:H70"/>
    <mergeCell ref="C67:D67"/>
    <mergeCell ref="C60:H60"/>
    <mergeCell ref="E70:F70"/>
    <mergeCell ref="B69:D69"/>
    <mergeCell ref="E69:H69"/>
    <mergeCell ref="E51:E52"/>
    <mergeCell ref="A39:B39"/>
    <mergeCell ref="G39:G40"/>
    <mergeCell ref="H39:H40"/>
    <mergeCell ref="A40:B40"/>
    <mergeCell ref="A41:B41"/>
    <mergeCell ref="A42:B42"/>
    <mergeCell ref="A29:B29"/>
    <mergeCell ref="G29:H29"/>
    <mergeCell ref="A32:B32"/>
    <mergeCell ref="A33:A35"/>
    <mergeCell ref="A36:B36"/>
    <mergeCell ref="A38:H38"/>
    <mergeCell ref="A37:B37"/>
    <mergeCell ref="A26:B26"/>
    <mergeCell ref="G26:H26"/>
    <mergeCell ref="A27:B27"/>
    <mergeCell ref="G27:H27"/>
    <mergeCell ref="A28:B28"/>
    <mergeCell ref="G28:H28"/>
    <mergeCell ref="A20:B20"/>
    <mergeCell ref="A21:B21"/>
    <mergeCell ref="A22:B22"/>
    <mergeCell ref="A23:B23"/>
    <mergeCell ref="A24:H24"/>
    <mergeCell ref="A25:B25"/>
    <mergeCell ref="G25:H25"/>
    <mergeCell ref="A14:B14"/>
    <mergeCell ref="A15:B15"/>
    <mergeCell ref="A16:B16"/>
    <mergeCell ref="A17:H17"/>
    <mergeCell ref="A18:B18"/>
    <mergeCell ref="G18:G19"/>
    <mergeCell ref="H18:H19"/>
    <mergeCell ref="A19:B19"/>
    <mergeCell ref="A11:B11"/>
    <mergeCell ref="A12:B12"/>
    <mergeCell ref="A13:B13"/>
    <mergeCell ref="A6:B6"/>
    <mergeCell ref="C6:E6"/>
    <mergeCell ref="G6:H6"/>
    <mergeCell ref="A9:B9"/>
    <mergeCell ref="A1:H2"/>
    <mergeCell ref="A3:H3"/>
    <mergeCell ref="A4:B4"/>
    <mergeCell ref="C4:E4"/>
    <mergeCell ref="A5:B5"/>
    <mergeCell ref="C5:E5"/>
    <mergeCell ref="G5:H5"/>
    <mergeCell ref="E71:F71"/>
    <mergeCell ref="E72:F72"/>
    <mergeCell ref="E73:F73"/>
    <mergeCell ref="E74:F74"/>
    <mergeCell ref="E75:F75"/>
    <mergeCell ref="G71:H71"/>
    <mergeCell ref="G72:H72"/>
    <mergeCell ref="G73:H73"/>
    <mergeCell ref="G74:H74"/>
    <mergeCell ref="G75:H75"/>
    <mergeCell ref="G67:H67"/>
    <mergeCell ref="E63:F63"/>
    <mergeCell ref="E64:F64"/>
    <mergeCell ref="E65:F65"/>
    <mergeCell ref="E66:F66"/>
    <mergeCell ref="E67:F67"/>
    <mergeCell ref="E68:H68"/>
    <mergeCell ref="C65:D65"/>
    <mergeCell ref="C66:D66"/>
  </mergeCells>
  <dataValidations count="1">
    <dataValidation type="list" allowBlank="1" showInputMessage="1" showErrorMessage="1" sqref="I51:I74 G47 G50">
      <formula1>$L$47:$L$48</formula1>
    </dataValidation>
  </dataValidations>
  <pageMargins left="1.5748031496062993" right="0.70866141732283472" top="0.74803149606299213" bottom="0.74803149606299213" header="0.31496062992125984" footer="0.31496062992125984"/>
  <pageSetup paperSize="9" scale="4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Disclaimer</vt:lpstr>
      <vt:lpstr>Input Page</vt:lpstr>
      <vt:lpstr>Standing</vt:lpstr>
      <vt:lpstr>Travelling</vt:lpstr>
      <vt:lpstr>Handling</vt:lpstr>
      <vt:lpstr>Penetrating</vt:lpstr>
      <vt:lpstr>Extracting</vt:lpstr>
      <vt:lpstr>Other</vt:lpstr>
      <vt:lpstr>Summary</vt:lpstr>
      <vt:lpstr>Extracting!Print_Area</vt:lpstr>
      <vt:lpstr>Handling!Print_Area</vt:lpstr>
      <vt:lpstr>'Input Page'!Print_Area</vt:lpstr>
      <vt:lpstr>Other!Print_Area</vt:lpstr>
      <vt:lpstr>Penetrating!Print_Area</vt:lpstr>
      <vt:lpstr>Standing!Print_Area</vt:lpstr>
      <vt:lpstr>Summary!Print_Area</vt:lpstr>
      <vt:lpstr>Travelling!Print_Area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dc:creator>
  <cp:lastModifiedBy>Derek</cp:lastModifiedBy>
  <cp:lastPrinted>2016-06-09T16:48:20Z</cp:lastPrinted>
  <dcterms:created xsi:type="dcterms:W3CDTF">2001-03-22T17:24:52Z</dcterms:created>
  <dcterms:modified xsi:type="dcterms:W3CDTF">2016-06-09T16:51:28Z</dcterms:modified>
</cp:coreProperties>
</file>